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" windowWidth="13392" windowHeight="7740" activeTab="9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  <sheet name="Лист8" sheetId="8" r:id="rId8"/>
    <sheet name="Лист9" sheetId="9" r:id="rId9"/>
    <sheet name="Лист10" sheetId="10" r:id="rId10"/>
  </sheets>
  <calcPr calcId="144525"/>
</workbook>
</file>

<file path=xl/calcChain.xml><?xml version="1.0" encoding="utf-8"?>
<calcChain xmlns="http://schemas.openxmlformats.org/spreadsheetml/2006/main">
  <c r="D23" i="10" l="1"/>
  <c r="E23" i="10"/>
  <c r="F23" i="10"/>
  <c r="G23" i="10"/>
  <c r="C29" i="10"/>
  <c r="G24" i="10"/>
  <c r="F24" i="10"/>
  <c r="E24" i="10"/>
  <c r="D24" i="10"/>
  <c r="C25" i="10"/>
  <c r="L24" i="10"/>
  <c r="K24" i="10"/>
  <c r="J24" i="10"/>
  <c r="I24" i="10"/>
  <c r="H24" i="10"/>
  <c r="L23" i="10"/>
  <c r="K23" i="10"/>
  <c r="J23" i="10"/>
  <c r="I23" i="10"/>
  <c r="H23" i="10"/>
  <c r="G16" i="10"/>
  <c r="F16" i="10"/>
  <c r="E17" i="10"/>
  <c r="E16" i="10"/>
  <c r="D16" i="10"/>
  <c r="D17" i="10"/>
  <c r="C21" i="10"/>
  <c r="L20" i="10"/>
  <c r="K20" i="10"/>
  <c r="J20" i="10"/>
  <c r="I20" i="10"/>
  <c r="H20" i="10"/>
  <c r="G20" i="10"/>
  <c r="F20" i="10"/>
  <c r="E20" i="10"/>
  <c r="D20" i="10"/>
  <c r="L19" i="10"/>
  <c r="K19" i="10"/>
  <c r="J19" i="10"/>
  <c r="I19" i="10"/>
  <c r="H19" i="10"/>
  <c r="G19" i="10"/>
  <c r="F19" i="10"/>
  <c r="E19" i="10"/>
  <c r="D19" i="10"/>
  <c r="L18" i="10"/>
  <c r="K18" i="10"/>
  <c r="J18" i="10"/>
  <c r="I18" i="10"/>
  <c r="H18" i="10"/>
  <c r="G18" i="10"/>
  <c r="F18" i="10"/>
  <c r="E18" i="10"/>
  <c r="D18" i="10"/>
  <c r="L17" i="10"/>
  <c r="K17" i="10"/>
  <c r="J17" i="10"/>
  <c r="I17" i="10"/>
  <c r="H17" i="10"/>
  <c r="G17" i="10"/>
  <c r="F17" i="10"/>
  <c r="L16" i="10"/>
  <c r="K16" i="10"/>
  <c r="J16" i="10"/>
  <c r="I16" i="10"/>
  <c r="H16" i="10"/>
  <c r="G13" i="10"/>
  <c r="F13" i="10"/>
  <c r="E13" i="10"/>
  <c r="D13" i="10"/>
  <c r="C14" i="10"/>
  <c r="L13" i="10"/>
  <c r="K13" i="10"/>
  <c r="J13" i="10"/>
  <c r="I13" i="10"/>
  <c r="H13" i="10"/>
  <c r="L12" i="10"/>
  <c r="K12" i="10"/>
  <c r="J12" i="10"/>
  <c r="I12" i="10"/>
  <c r="H12" i="10"/>
  <c r="G12" i="10"/>
  <c r="F12" i="10"/>
  <c r="E12" i="10"/>
  <c r="D12" i="10"/>
  <c r="G5" i="10"/>
  <c r="F5" i="10"/>
  <c r="D5" i="10"/>
  <c r="C10" i="10"/>
  <c r="L7" i="10"/>
  <c r="K7" i="10"/>
  <c r="J7" i="10"/>
  <c r="I7" i="10"/>
  <c r="H7" i="10"/>
  <c r="G7" i="10"/>
  <c r="F7" i="10"/>
  <c r="E7" i="10"/>
  <c r="D7" i="10"/>
  <c r="L6" i="10"/>
  <c r="K6" i="10"/>
  <c r="J6" i="10"/>
  <c r="I6" i="10"/>
  <c r="H6" i="10"/>
  <c r="G6" i="10"/>
  <c r="F6" i="10"/>
  <c r="E6" i="10"/>
  <c r="D6" i="10"/>
  <c r="L5" i="10"/>
  <c r="K5" i="10"/>
  <c r="J5" i="10"/>
  <c r="I5" i="10"/>
  <c r="H5" i="10"/>
  <c r="E5" i="10"/>
  <c r="G27" i="9"/>
  <c r="F27" i="9"/>
  <c r="E27" i="9"/>
  <c r="D27" i="9"/>
  <c r="C28" i="9"/>
  <c r="L27" i="9"/>
  <c r="K27" i="9"/>
  <c r="J27" i="9"/>
  <c r="I27" i="9"/>
  <c r="H27" i="9"/>
  <c r="L26" i="9"/>
  <c r="K26" i="9"/>
  <c r="J26" i="9"/>
  <c r="I26" i="9"/>
  <c r="H26" i="9"/>
  <c r="G26" i="9"/>
  <c r="F26" i="9"/>
  <c r="E26" i="9"/>
  <c r="D26" i="9"/>
  <c r="G22" i="9"/>
  <c r="F22" i="9"/>
  <c r="E22" i="9"/>
  <c r="D23" i="9"/>
  <c r="D22" i="9"/>
  <c r="C24" i="9"/>
  <c r="L23" i="9"/>
  <c r="K23" i="9"/>
  <c r="J23" i="9"/>
  <c r="I23" i="9"/>
  <c r="H23" i="9"/>
  <c r="G23" i="9"/>
  <c r="F23" i="9"/>
  <c r="E23" i="9"/>
  <c r="L22" i="9"/>
  <c r="K22" i="9"/>
  <c r="J22" i="9"/>
  <c r="I22" i="9"/>
  <c r="H22" i="9"/>
  <c r="G15" i="9"/>
  <c r="G16" i="9"/>
  <c r="F15" i="9"/>
  <c r="C20" i="9"/>
  <c r="L19" i="9"/>
  <c r="K19" i="9"/>
  <c r="J19" i="9"/>
  <c r="I19" i="9"/>
  <c r="H19" i="9"/>
  <c r="G19" i="9"/>
  <c r="F19" i="9"/>
  <c r="E19" i="9"/>
  <c r="D19" i="9"/>
  <c r="L18" i="9"/>
  <c r="K18" i="9"/>
  <c r="J18" i="9"/>
  <c r="I18" i="9"/>
  <c r="H18" i="9"/>
  <c r="G18" i="9"/>
  <c r="F18" i="9"/>
  <c r="E18" i="9"/>
  <c r="D18" i="9"/>
  <c r="L17" i="9"/>
  <c r="K17" i="9"/>
  <c r="J17" i="9"/>
  <c r="I17" i="9"/>
  <c r="H17" i="9"/>
  <c r="G17" i="9"/>
  <c r="F17" i="9"/>
  <c r="E17" i="9"/>
  <c r="D17" i="9"/>
  <c r="L16" i="9"/>
  <c r="K16" i="9"/>
  <c r="J16" i="9"/>
  <c r="I16" i="9"/>
  <c r="H16" i="9"/>
  <c r="F16" i="9"/>
  <c r="E16" i="9"/>
  <c r="D16" i="9"/>
  <c r="L15" i="9"/>
  <c r="K15" i="9"/>
  <c r="J15" i="9"/>
  <c r="I15" i="9"/>
  <c r="H15" i="9"/>
  <c r="E15" i="9"/>
  <c r="D15" i="9"/>
  <c r="L14" i="9"/>
  <c r="K14" i="9"/>
  <c r="J14" i="9"/>
  <c r="I14" i="9"/>
  <c r="H14" i="9"/>
  <c r="G14" i="9"/>
  <c r="F14" i="9"/>
  <c r="E14" i="9"/>
  <c r="D14" i="9"/>
  <c r="G11" i="9"/>
  <c r="F11" i="9"/>
  <c r="E11" i="9"/>
  <c r="D11" i="9"/>
  <c r="C12" i="9"/>
  <c r="L11" i="9"/>
  <c r="K11" i="9"/>
  <c r="J11" i="9"/>
  <c r="I11" i="9"/>
  <c r="H11" i="9"/>
  <c r="L10" i="9"/>
  <c r="K10" i="9"/>
  <c r="J10" i="9"/>
  <c r="I10" i="9"/>
  <c r="H10" i="9"/>
  <c r="G10" i="9"/>
  <c r="F10" i="9"/>
  <c r="E10" i="9"/>
  <c r="D10" i="9"/>
  <c r="D5" i="9"/>
  <c r="G5" i="9"/>
  <c r="F5" i="9"/>
  <c r="E5" i="9"/>
  <c r="L7" i="9"/>
  <c r="K7" i="9"/>
  <c r="J7" i="9"/>
  <c r="I7" i="9"/>
  <c r="H7" i="9"/>
  <c r="G7" i="9"/>
  <c r="F7" i="9"/>
  <c r="E7" i="9"/>
  <c r="D7" i="9"/>
  <c r="L6" i="9"/>
  <c r="K6" i="9"/>
  <c r="J6" i="9"/>
  <c r="I6" i="9"/>
  <c r="H6" i="9"/>
  <c r="G6" i="9"/>
  <c r="F6" i="9"/>
  <c r="E6" i="9"/>
  <c r="D6" i="9"/>
  <c r="L5" i="9"/>
  <c r="K5" i="9"/>
  <c r="J5" i="9"/>
  <c r="I5" i="9"/>
  <c r="H5" i="9"/>
  <c r="C8" i="9"/>
  <c r="G31" i="8"/>
  <c r="F31" i="8"/>
  <c r="C32" i="8"/>
  <c r="L31" i="8"/>
  <c r="K31" i="8"/>
  <c r="J31" i="8"/>
  <c r="I31" i="8"/>
  <c r="H31" i="8"/>
  <c r="E31" i="8"/>
  <c r="D31" i="8"/>
  <c r="L30" i="8"/>
  <c r="K30" i="8"/>
  <c r="J30" i="8"/>
  <c r="I30" i="8"/>
  <c r="H30" i="8"/>
  <c r="G30" i="8"/>
  <c r="F30" i="8"/>
  <c r="E30" i="8"/>
  <c r="D30" i="8"/>
  <c r="G26" i="8"/>
  <c r="F26" i="8"/>
  <c r="E26" i="8"/>
  <c r="D26" i="8"/>
  <c r="C28" i="8"/>
  <c r="L27" i="8"/>
  <c r="K27" i="8"/>
  <c r="J27" i="8"/>
  <c r="I27" i="8"/>
  <c r="H27" i="8"/>
  <c r="G27" i="8"/>
  <c r="F27" i="8"/>
  <c r="E27" i="8"/>
  <c r="D27" i="8"/>
  <c r="L26" i="8"/>
  <c r="K26" i="8"/>
  <c r="J26" i="8"/>
  <c r="I26" i="8"/>
  <c r="H26" i="8"/>
  <c r="G18" i="8"/>
  <c r="F19" i="8"/>
  <c r="F18" i="8"/>
  <c r="E19" i="8"/>
  <c r="D18" i="8"/>
  <c r="C24" i="8"/>
  <c r="L23" i="8"/>
  <c r="K23" i="8"/>
  <c r="J23" i="8"/>
  <c r="I23" i="8"/>
  <c r="H23" i="8"/>
  <c r="G23" i="8"/>
  <c r="F23" i="8"/>
  <c r="E23" i="8"/>
  <c r="D23" i="8"/>
  <c r="L21" i="8"/>
  <c r="K21" i="8"/>
  <c r="J21" i="8"/>
  <c r="I21" i="8"/>
  <c r="H21" i="8"/>
  <c r="G21" i="8"/>
  <c r="F21" i="8"/>
  <c r="E21" i="8"/>
  <c r="D21" i="8"/>
  <c r="L20" i="8"/>
  <c r="K20" i="8"/>
  <c r="J20" i="8"/>
  <c r="I20" i="8"/>
  <c r="H20" i="8"/>
  <c r="G20" i="8"/>
  <c r="F20" i="8"/>
  <c r="E20" i="8"/>
  <c r="D20" i="8"/>
  <c r="L19" i="8"/>
  <c r="K19" i="8"/>
  <c r="J19" i="8"/>
  <c r="I19" i="8"/>
  <c r="H19" i="8"/>
  <c r="G19" i="8"/>
  <c r="D19" i="8"/>
  <c r="L18" i="8"/>
  <c r="K18" i="8"/>
  <c r="J18" i="8"/>
  <c r="I18" i="8"/>
  <c r="H18" i="8"/>
  <c r="E18" i="8"/>
  <c r="L17" i="8"/>
  <c r="K17" i="8"/>
  <c r="J17" i="8"/>
  <c r="I17" i="8"/>
  <c r="H17" i="8"/>
  <c r="G17" i="8"/>
  <c r="F17" i="8"/>
  <c r="E17" i="8"/>
  <c r="D17" i="8"/>
  <c r="G14" i="8"/>
  <c r="F14" i="8"/>
  <c r="E14" i="8"/>
  <c r="D14" i="8"/>
  <c r="C15" i="8"/>
  <c r="L14" i="8"/>
  <c r="K14" i="8"/>
  <c r="J14" i="8"/>
  <c r="I14" i="8"/>
  <c r="H14" i="8"/>
  <c r="L13" i="8"/>
  <c r="K13" i="8"/>
  <c r="J13" i="8"/>
  <c r="I13" i="8"/>
  <c r="H13" i="8"/>
  <c r="G13" i="8"/>
  <c r="F13" i="8"/>
  <c r="E13" i="8"/>
  <c r="D13" i="8"/>
  <c r="G5" i="8"/>
  <c r="F5" i="8"/>
  <c r="E5" i="8"/>
  <c r="D5" i="8"/>
  <c r="C11" i="8"/>
  <c r="L10" i="8"/>
  <c r="K10" i="8"/>
  <c r="J10" i="8"/>
  <c r="I10" i="8"/>
  <c r="H10" i="8"/>
  <c r="G10" i="8"/>
  <c r="F10" i="8"/>
  <c r="E10" i="8"/>
  <c r="D10" i="8"/>
  <c r="L8" i="8"/>
  <c r="K8" i="8"/>
  <c r="J8" i="8"/>
  <c r="I8" i="8"/>
  <c r="H8" i="8"/>
  <c r="G8" i="8"/>
  <c r="F8" i="8"/>
  <c r="E8" i="8"/>
  <c r="D8" i="8"/>
  <c r="L7" i="8"/>
  <c r="K7" i="8"/>
  <c r="J7" i="8"/>
  <c r="I7" i="8"/>
  <c r="H7" i="8"/>
  <c r="G7" i="8"/>
  <c r="F7" i="8"/>
  <c r="E7" i="8"/>
  <c r="D7" i="8"/>
  <c r="L6" i="8"/>
  <c r="L11" i="8" s="1"/>
  <c r="K6" i="8"/>
  <c r="J6" i="8"/>
  <c r="I6" i="8"/>
  <c r="H6" i="8"/>
  <c r="H11" i="8" s="1"/>
  <c r="G6" i="8"/>
  <c r="F6" i="8"/>
  <c r="E6" i="8"/>
  <c r="D6" i="8"/>
  <c r="L5" i="8"/>
  <c r="K5" i="8"/>
  <c r="J5" i="8"/>
  <c r="I5" i="8"/>
  <c r="H5" i="8"/>
  <c r="E15" i="7"/>
  <c r="E12" i="7"/>
  <c r="G27" i="7"/>
  <c r="F27" i="7"/>
  <c r="C29" i="7"/>
  <c r="L28" i="7"/>
  <c r="K28" i="7"/>
  <c r="J28" i="7"/>
  <c r="I28" i="7"/>
  <c r="H28" i="7"/>
  <c r="G28" i="7"/>
  <c r="F28" i="7"/>
  <c r="E28" i="7"/>
  <c r="D28" i="7"/>
  <c r="L27" i="7"/>
  <c r="K27" i="7"/>
  <c r="J27" i="7"/>
  <c r="I27" i="7"/>
  <c r="H27" i="7"/>
  <c r="E27" i="7"/>
  <c r="D27" i="7"/>
  <c r="G23" i="7"/>
  <c r="F23" i="7"/>
  <c r="C25" i="7"/>
  <c r="L24" i="7"/>
  <c r="K24" i="7"/>
  <c r="J24" i="7"/>
  <c r="I24" i="7"/>
  <c r="H24" i="7"/>
  <c r="G24" i="7"/>
  <c r="F24" i="7"/>
  <c r="E24" i="7"/>
  <c r="D24" i="7"/>
  <c r="L23" i="7"/>
  <c r="K23" i="7"/>
  <c r="J23" i="7"/>
  <c r="I23" i="7"/>
  <c r="H23" i="7"/>
  <c r="E23" i="7"/>
  <c r="D23" i="7"/>
  <c r="G16" i="7"/>
  <c r="G17" i="7"/>
  <c r="F16" i="7"/>
  <c r="F17" i="7"/>
  <c r="E16" i="7"/>
  <c r="D15" i="7"/>
  <c r="C21" i="7"/>
  <c r="L19" i="7"/>
  <c r="K19" i="7"/>
  <c r="J19" i="7"/>
  <c r="I19" i="7"/>
  <c r="H19" i="7"/>
  <c r="G19" i="7"/>
  <c r="F19" i="7"/>
  <c r="E19" i="7"/>
  <c r="D19" i="7"/>
  <c r="L18" i="7"/>
  <c r="K18" i="7"/>
  <c r="J18" i="7"/>
  <c r="I18" i="7"/>
  <c r="H18" i="7"/>
  <c r="G18" i="7"/>
  <c r="F18" i="7"/>
  <c r="E18" i="7"/>
  <c r="D18" i="7"/>
  <c r="L17" i="7"/>
  <c r="K17" i="7"/>
  <c r="J17" i="7"/>
  <c r="I17" i="7"/>
  <c r="H17" i="7"/>
  <c r="E17" i="7"/>
  <c r="D17" i="7"/>
  <c r="L16" i="7"/>
  <c r="K16" i="7"/>
  <c r="J16" i="7"/>
  <c r="I16" i="7"/>
  <c r="H16" i="7"/>
  <c r="D16" i="7"/>
  <c r="L15" i="7"/>
  <c r="K15" i="7"/>
  <c r="J15" i="7"/>
  <c r="I15" i="7"/>
  <c r="H15" i="7"/>
  <c r="G15" i="7"/>
  <c r="F15" i="7"/>
  <c r="G12" i="7"/>
  <c r="F12" i="7"/>
  <c r="D12" i="7"/>
  <c r="C13" i="7"/>
  <c r="L12" i="7"/>
  <c r="K12" i="7"/>
  <c r="J12" i="7"/>
  <c r="I12" i="7"/>
  <c r="H12" i="7"/>
  <c r="L11" i="7"/>
  <c r="K11" i="7"/>
  <c r="J11" i="7"/>
  <c r="I11" i="7"/>
  <c r="H11" i="7"/>
  <c r="G11" i="7"/>
  <c r="F11" i="7"/>
  <c r="E11" i="7"/>
  <c r="D11" i="7"/>
  <c r="G5" i="7"/>
  <c r="F5" i="7"/>
  <c r="E5" i="7"/>
  <c r="D5" i="7"/>
  <c r="C9" i="7"/>
  <c r="L7" i="7"/>
  <c r="K7" i="7"/>
  <c r="J7" i="7"/>
  <c r="I7" i="7"/>
  <c r="H7" i="7"/>
  <c r="G7" i="7"/>
  <c r="F7" i="7"/>
  <c r="E7" i="7"/>
  <c r="D7" i="7"/>
  <c r="L6" i="7"/>
  <c r="K6" i="7"/>
  <c r="J6" i="7"/>
  <c r="I6" i="7"/>
  <c r="H6" i="7"/>
  <c r="G6" i="7"/>
  <c r="F6" i="7"/>
  <c r="E6" i="7"/>
  <c r="D6" i="7"/>
  <c r="L5" i="7"/>
  <c r="K5" i="7"/>
  <c r="J5" i="7"/>
  <c r="I5" i="7"/>
  <c r="H5" i="7"/>
  <c r="G26" i="6"/>
  <c r="F16" i="6"/>
  <c r="F26" i="6"/>
  <c r="E26" i="6"/>
  <c r="D26" i="6"/>
  <c r="C27" i="6"/>
  <c r="L26" i="6"/>
  <c r="K26" i="6"/>
  <c r="J26" i="6"/>
  <c r="I26" i="6"/>
  <c r="H26" i="6"/>
  <c r="G22" i="6"/>
  <c r="F22" i="6"/>
  <c r="E22" i="6"/>
  <c r="D22" i="6"/>
  <c r="D16" i="6"/>
  <c r="C24" i="6"/>
  <c r="L23" i="6"/>
  <c r="K23" i="6"/>
  <c r="J23" i="6"/>
  <c r="I23" i="6"/>
  <c r="H23" i="6"/>
  <c r="G23" i="6"/>
  <c r="F23" i="6"/>
  <c r="E23" i="6"/>
  <c r="D23" i="6"/>
  <c r="L22" i="6"/>
  <c r="K22" i="6"/>
  <c r="J22" i="6"/>
  <c r="I22" i="6"/>
  <c r="H22" i="6"/>
  <c r="E16" i="6"/>
  <c r="G18" i="6"/>
  <c r="G16" i="6"/>
  <c r="C20" i="6"/>
  <c r="L19" i="6"/>
  <c r="K19" i="6"/>
  <c r="J19" i="6"/>
  <c r="I19" i="6"/>
  <c r="H19" i="6"/>
  <c r="G19" i="6"/>
  <c r="F19" i="6"/>
  <c r="E19" i="6"/>
  <c r="D19" i="6"/>
  <c r="L18" i="6"/>
  <c r="K18" i="6"/>
  <c r="J18" i="6"/>
  <c r="I18" i="6"/>
  <c r="H18" i="6"/>
  <c r="F18" i="6"/>
  <c r="E18" i="6"/>
  <c r="D18" i="6"/>
  <c r="L17" i="6"/>
  <c r="K17" i="6"/>
  <c r="J17" i="6"/>
  <c r="I17" i="6"/>
  <c r="H17" i="6"/>
  <c r="G17" i="6"/>
  <c r="F17" i="6"/>
  <c r="E17" i="6"/>
  <c r="D17" i="6"/>
  <c r="L16" i="6"/>
  <c r="K16" i="6"/>
  <c r="J16" i="6"/>
  <c r="I16" i="6"/>
  <c r="H16" i="6"/>
  <c r="L15" i="6"/>
  <c r="K15" i="6"/>
  <c r="J15" i="6"/>
  <c r="I15" i="6"/>
  <c r="H15" i="6"/>
  <c r="G15" i="6"/>
  <c r="F15" i="6"/>
  <c r="E15" i="6"/>
  <c r="D15" i="6"/>
  <c r="G12" i="6"/>
  <c r="F12" i="6"/>
  <c r="C13" i="6"/>
  <c r="L12" i="6"/>
  <c r="K12" i="6"/>
  <c r="J12" i="6"/>
  <c r="I12" i="6"/>
  <c r="H12" i="6"/>
  <c r="E12" i="6"/>
  <c r="D12" i="6"/>
  <c r="L11" i="6"/>
  <c r="K11" i="6"/>
  <c r="J11" i="6"/>
  <c r="I11" i="6"/>
  <c r="H11" i="6"/>
  <c r="G11" i="6"/>
  <c r="F11" i="6"/>
  <c r="E11" i="6"/>
  <c r="D11" i="6"/>
  <c r="G5" i="6"/>
  <c r="F5" i="6"/>
  <c r="E5" i="6"/>
  <c r="D5" i="6"/>
  <c r="D6" i="6"/>
  <c r="C9" i="6"/>
  <c r="L7" i="6"/>
  <c r="K7" i="6"/>
  <c r="J7" i="6"/>
  <c r="I7" i="6"/>
  <c r="H7" i="6"/>
  <c r="G7" i="6"/>
  <c r="F7" i="6"/>
  <c r="E7" i="6"/>
  <c r="D7" i="6"/>
  <c r="L6" i="6"/>
  <c r="K6" i="6"/>
  <c r="J6" i="6"/>
  <c r="I6" i="6"/>
  <c r="H6" i="6"/>
  <c r="G6" i="6"/>
  <c r="F6" i="6"/>
  <c r="E6" i="6"/>
  <c r="L5" i="6"/>
  <c r="K5" i="6"/>
  <c r="J5" i="6"/>
  <c r="I5" i="6"/>
  <c r="H5" i="6"/>
  <c r="G5" i="5"/>
  <c r="G16" i="5"/>
  <c r="G17" i="5"/>
  <c r="G12" i="5"/>
  <c r="G27" i="5"/>
  <c r="F28" i="5"/>
  <c r="F27" i="5"/>
  <c r="E27" i="5"/>
  <c r="D27" i="5"/>
  <c r="C29" i="5"/>
  <c r="L28" i="5"/>
  <c r="K28" i="5"/>
  <c r="J28" i="5"/>
  <c r="I28" i="5"/>
  <c r="H28" i="5"/>
  <c r="G28" i="5"/>
  <c r="E28" i="5"/>
  <c r="D28" i="5"/>
  <c r="L27" i="5"/>
  <c r="K27" i="5"/>
  <c r="J27" i="5"/>
  <c r="I27" i="5"/>
  <c r="H27" i="5"/>
  <c r="G23" i="5"/>
  <c r="F24" i="5"/>
  <c r="F23" i="5"/>
  <c r="C25" i="5"/>
  <c r="L24" i="5"/>
  <c r="K24" i="5"/>
  <c r="J24" i="5"/>
  <c r="I24" i="5"/>
  <c r="H24" i="5"/>
  <c r="G24" i="5"/>
  <c r="E24" i="5"/>
  <c r="D24" i="5"/>
  <c r="L23" i="5"/>
  <c r="K23" i="5"/>
  <c r="J23" i="5"/>
  <c r="I23" i="5"/>
  <c r="H23" i="5"/>
  <c r="E23" i="5"/>
  <c r="D23" i="5"/>
  <c r="G15" i="5"/>
  <c r="F17" i="5"/>
  <c r="E16" i="5"/>
  <c r="D16" i="5"/>
  <c r="C21" i="5"/>
  <c r="L20" i="5"/>
  <c r="K20" i="5"/>
  <c r="J20" i="5"/>
  <c r="I20" i="5"/>
  <c r="H20" i="5"/>
  <c r="G20" i="5"/>
  <c r="F20" i="5"/>
  <c r="E20" i="5"/>
  <c r="D20" i="5"/>
  <c r="L19" i="5"/>
  <c r="K19" i="5"/>
  <c r="J19" i="5"/>
  <c r="I19" i="5"/>
  <c r="H19" i="5"/>
  <c r="G19" i="5"/>
  <c r="F19" i="5"/>
  <c r="E19" i="5"/>
  <c r="D19" i="5"/>
  <c r="L18" i="5"/>
  <c r="K18" i="5"/>
  <c r="J18" i="5"/>
  <c r="I18" i="5"/>
  <c r="H18" i="5"/>
  <c r="G18" i="5"/>
  <c r="F18" i="5"/>
  <c r="E18" i="5"/>
  <c r="D18" i="5"/>
  <c r="L17" i="5"/>
  <c r="K17" i="5"/>
  <c r="J17" i="5"/>
  <c r="I17" i="5"/>
  <c r="H17" i="5"/>
  <c r="E17" i="5"/>
  <c r="D17" i="5"/>
  <c r="L16" i="5"/>
  <c r="K16" i="5"/>
  <c r="J16" i="5"/>
  <c r="I16" i="5"/>
  <c r="H16" i="5"/>
  <c r="F16" i="5"/>
  <c r="L15" i="5"/>
  <c r="K15" i="5"/>
  <c r="J15" i="5"/>
  <c r="I15" i="5"/>
  <c r="H15" i="5"/>
  <c r="F15" i="5"/>
  <c r="E15" i="5"/>
  <c r="D15" i="5"/>
  <c r="F12" i="5"/>
  <c r="E12" i="5"/>
  <c r="D12" i="5"/>
  <c r="C13" i="5"/>
  <c r="L12" i="5"/>
  <c r="K12" i="5"/>
  <c r="J12" i="5"/>
  <c r="I12" i="5"/>
  <c r="H12" i="5"/>
  <c r="L11" i="5"/>
  <c r="K11" i="5"/>
  <c r="J11" i="5"/>
  <c r="I11" i="5"/>
  <c r="H11" i="5"/>
  <c r="G11" i="5"/>
  <c r="F11" i="5"/>
  <c r="E11" i="5"/>
  <c r="D11" i="5"/>
  <c r="F5" i="5"/>
  <c r="D5" i="5"/>
  <c r="C9" i="5"/>
  <c r="L7" i="5"/>
  <c r="K7" i="5"/>
  <c r="J7" i="5"/>
  <c r="I7" i="5"/>
  <c r="H7" i="5"/>
  <c r="G7" i="5"/>
  <c r="F7" i="5"/>
  <c r="E7" i="5"/>
  <c r="D7" i="5"/>
  <c r="L6" i="5"/>
  <c r="K6" i="5"/>
  <c r="J6" i="5"/>
  <c r="I6" i="5"/>
  <c r="H6" i="5"/>
  <c r="G6" i="5"/>
  <c r="F6" i="5"/>
  <c r="E6" i="5"/>
  <c r="D6" i="5"/>
  <c r="L5" i="5"/>
  <c r="K5" i="5"/>
  <c r="J5" i="5"/>
  <c r="I5" i="5"/>
  <c r="H5" i="5"/>
  <c r="E5" i="5"/>
  <c r="G15" i="4"/>
  <c r="E31" i="4"/>
  <c r="F31" i="4"/>
  <c r="H31" i="4"/>
  <c r="I31" i="4"/>
  <c r="J31" i="4"/>
  <c r="K31" i="4"/>
  <c r="L31" i="4"/>
  <c r="D31" i="4"/>
  <c r="G29" i="4"/>
  <c r="G28" i="4"/>
  <c r="F28" i="4"/>
  <c r="F30" i="4"/>
  <c r="E28" i="4"/>
  <c r="D28" i="4"/>
  <c r="C30" i="4"/>
  <c r="L29" i="4"/>
  <c r="L30" i="4" s="1"/>
  <c r="K29" i="4"/>
  <c r="J29" i="4"/>
  <c r="J30" i="4" s="1"/>
  <c r="I29" i="4"/>
  <c r="H29" i="4"/>
  <c r="H30" i="4" s="1"/>
  <c r="F29" i="4"/>
  <c r="E29" i="4"/>
  <c r="D29" i="4"/>
  <c r="L28" i="4"/>
  <c r="K28" i="4"/>
  <c r="K30" i="4" s="1"/>
  <c r="J28" i="4"/>
  <c r="I28" i="4"/>
  <c r="I30" i="4" s="1"/>
  <c r="H28" i="4"/>
  <c r="G30" i="4"/>
  <c r="E30" i="4"/>
  <c r="G23" i="4"/>
  <c r="F23" i="4"/>
  <c r="E23" i="4"/>
  <c r="D23" i="4"/>
  <c r="D24" i="4"/>
  <c r="L24" i="4"/>
  <c r="K24" i="4"/>
  <c r="J24" i="4"/>
  <c r="I24" i="4"/>
  <c r="H24" i="4"/>
  <c r="G24" i="4"/>
  <c r="F24" i="4"/>
  <c r="E24" i="4"/>
  <c r="L23" i="4"/>
  <c r="K23" i="4"/>
  <c r="J23" i="4"/>
  <c r="I23" i="4"/>
  <c r="H23" i="4"/>
  <c r="C25" i="4"/>
  <c r="G16" i="4"/>
  <c r="F17" i="4"/>
  <c r="E16" i="4"/>
  <c r="E17" i="4"/>
  <c r="D16" i="4"/>
  <c r="C21" i="4"/>
  <c r="L20" i="4"/>
  <c r="K20" i="4"/>
  <c r="J20" i="4"/>
  <c r="I20" i="4"/>
  <c r="H20" i="4"/>
  <c r="G20" i="4"/>
  <c r="F20" i="4"/>
  <c r="E20" i="4"/>
  <c r="D20" i="4"/>
  <c r="L19" i="4"/>
  <c r="K19" i="4"/>
  <c r="J19" i="4"/>
  <c r="I19" i="4"/>
  <c r="H19" i="4"/>
  <c r="G19" i="4"/>
  <c r="F19" i="4"/>
  <c r="E19" i="4"/>
  <c r="D19" i="4"/>
  <c r="L18" i="4"/>
  <c r="K18" i="4"/>
  <c r="J18" i="4"/>
  <c r="I18" i="4"/>
  <c r="H18" i="4"/>
  <c r="G18" i="4"/>
  <c r="F18" i="4"/>
  <c r="E18" i="4"/>
  <c r="D18" i="4"/>
  <c r="L17" i="4"/>
  <c r="K17" i="4"/>
  <c r="J17" i="4"/>
  <c r="I17" i="4"/>
  <c r="H17" i="4"/>
  <c r="G17" i="4"/>
  <c r="D17" i="4"/>
  <c r="L16" i="4"/>
  <c r="K16" i="4"/>
  <c r="J16" i="4"/>
  <c r="I16" i="4"/>
  <c r="H16" i="4"/>
  <c r="F16" i="4"/>
  <c r="L15" i="4"/>
  <c r="K15" i="4"/>
  <c r="J15" i="4"/>
  <c r="I15" i="4"/>
  <c r="H15" i="4"/>
  <c r="F15" i="4"/>
  <c r="E15" i="4"/>
  <c r="D15" i="4"/>
  <c r="G12" i="4"/>
  <c r="F12" i="4"/>
  <c r="E12" i="4"/>
  <c r="D11" i="4"/>
  <c r="C13" i="4"/>
  <c r="L12" i="4"/>
  <c r="K12" i="4"/>
  <c r="J12" i="4"/>
  <c r="I12" i="4"/>
  <c r="H12" i="4"/>
  <c r="D12" i="4"/>
  <c r="L11" i="4"/>
  <c r="K11" i="4"/>
  <c r="J11" i="4"/>
  <c r="I11" i="4"/>
  <c r="H11" i="4"/>
  <c r="G11" i="4"/>
  <c r="F11" i="4"/>
  <c r="E11" i="4"/>
  <c r="G5" i="4"/>
  <c r="F5" i="4"/>
  <c r="E5" i="4"/>
  <c r="E9" i="4" s="1"/>
  <c r="D5" i="4"/>
  <c r="F9" i="4"/>
  <c r="C9" i="4"/>
  <c r="L7" i="4"/>
  <c r="K7" i="4"/>
  <c r="K9" i="4" s="1"/>
  <c r="J7" i="4"/>
  <c r="I7" i="4"/>
  <c r="H7" i="4"/>
  <c r="G7" i="4"/>
  <c r="G9" i="4" s="1"/>
  <c r="F7" i="4"/>
  <c r="E7" i="4"/>
  <c r="D7" i="4"/>
  <c r="L6" i="4"/>
  <c r="K6" i="4"/>
  <c r="J6" i="4"/>
  <c r="I6" i="4"/>
  <c r="H6" i="4"/>
  <c r="G6" i="4"/>
  <c r="F6" i="4"/>
  <c r="E6" i="4"/>
  <c r="D6" i="4"/>
  <c r="D9" i="4" s="1"/>
  <c r="L5" i="4"/>
  <c r="L9" i="4" s="1"/>
  <c r="K5" i="4"/>
  <c r="J5" i="4"/>
  <c r="J9" i="4" s="1"/>
  <c r="I5" i="4"/>
  <c r="I9" i="4" s="1"/>
  <c r="H5" i="4"/>
  <c r="H9" i="4" s="1"/>
  <c r="G27" i="3"/>
  <c r="F28" i="3"/>
  <c r="F27" i="3"/>
  <c r="E27" i="3"/>
  <c r="D27" i="3"/>
  <c r="C29" i="3"/>
  <c r="L28" i="3"/>
  <c r="K28" i="3"/>
  <c r="J28" i="3"/>
  <c r="I28" i="3"/>
  <c r="H28" i="3"/>
  <c r="G28" i="3"/>
  <c r="E28" i="3"/>
  <c r="D28" i="3"/>
  <c r="L27" i="3"/>
  <c r="K27" i="3"/>
  <c r="J27" i="3"/>
  <c r="I27" i="3"/>
  <c r="H27" i="3"/>
  <c r="G23" i="3"/>
  <c r="F23" i="3"/>
  <c r="E23" i="3"/>
  <c r="D23" i="3"/>
  <c r="C25" i="3"/>
  <c r="L24" i="3"/>
  <c r="K24" i="3"/>
  <c r="J24" i="3"/>
  <c r="I24" i="3"/>
  <c r="H24" i="3"/>
  <c r="G24" i="3"/>
  <c r="F24" i="3"/>
  <c r="E24" i="3"/>
  <c r="D24" i="3"/>
  <c r="L23" i="3"/>
  <c r="K23" i="3"/>
  <c r="J23" i="3"/>
  <c r="I23" i="3"/>
  <c r="H23" i="3"/>
  <c r="G16" i="3"/>
  <c r="F16" i="3"/>
  <c r="E16" i="3"/>
  <c r="D16" i="3"/>
  <c r="C21" i="3"/>
  <c r="L20" i="3"/>
  <c r="K20" i="3"/>
  <c r="J20" i="3"/>
  <c r="I20" i="3"/>
  <c r="H20" i="3"/>
  <c r="G20" i="3"/>
  <c r="F20" i="3"/>
  <c r="E20" i="3"/>
  <c r="D20" i="3"/>
  <c r="L19" i="3"/>
  <c r="K19" i="3"/>
  <c r="J19" i="3"/>
  <c r="I19" i="3"/>
  <c r="H19" i="3"/>
  <c r="G19" i="3"/>
  <c r="F19" i="3"/>
  <c r="E19" i="3"/>
  <c r="D19" i="3"/>
  <c r="L18" i="3"/>
  <c r="K18" i="3"/>
  <c r="J18" i="3"/>
  <c r="I18" i="3"/>
  <c r="H18" i="3"/>
  <c r="G18" i="3"/>
  <c r="F18" i="3"/>
  <c r="E18" i="3"/>
  <c r="D18" i="3"/>
  <c r="L17" i="3"/>
  <c r="K17" i="3"/>
  <c r="J17" i="3"/>
  <c r="I17" i="3"/>
  <c r="H17" i="3"/>
  <c r="G17" i="3"/>
  <c r="F17" i="3"/>
  <c r="E17" i="3"/>
  <c r="D17" i="3"/>
  <c r="L16" i="3"/>
  <c r="K16" i="3"/>
  <c r="J16" i="3"/>
  <c r="I16" i="3"/>
  <c r="H16" i="3"/>
  <c r="L15" i="3"/>
  <c r="K15" i="3"/>
  <c r="J15" i="3"/>
  <c r="I15" i="3"/>
  <c r="H15" i="3"/>
  <c r="G15" i="3"/>
  <c r="F15" i="3"/>
  <c r="E15" i="3"/>
  <c r="D15" i="3"/>
  <c r="G12" i="3"/>
  <c r="F12" i="3"/>
  <c r="C13" i="3"/>
  <c r="L12" i="3"/>
  <c r="K12" i="3"/>
  <c r="J12" i="3"/>
  <c r="I12" i="3"/>
  <c r="H12" i="3"/>
  <c r="E12" i="3"/>
  <c r="D12" i="3"/>
  <c r="L11" i="3"/>
  <c r="K11" i="3"/>
  <c r="J11" i="3"/>
  <c r="I11" i="3"/>
  <c r="H11" i="3"/>
  <c r="G11" i="3"/>
  <c r="F11" i="3"/>
  <c r="E11" i="3"/>
  <c r="D11" i="3"/>
  <c r="G5" i="3"/>
  <c r="F5" i="3"/>
  <c r="E5" i="3"/>
  <c r="D5" i="3"/>
  <c r="C9" i="3"/>
  <c r="L7" i="3"/>
  <c r="K7" i="3"/>
  <c r="J7" i="3"/>
  <c r="I7" i="3"/>
  <c r="H7" i="3"/>
  <c r="G7" i="3"/>
  <c r="F7" i="3"/>
  <c r="E7" i="3"/>
  <c r="D7" i="3"/>
  <c r="L6" i="3"/>
  <c r="K6" i="3"/>
  <c r="J6" i="3"/>
  <c r="I6" i="3"/>
  <c r="H6" i="3"/>
  <c r="G6" i="3"/>
  <c r="F6" i="3"/>
  <c r="E6" i="3"/>
  <c r="D6" i="3"/>
  <c r="L5" i="3"/>
  <c r="K5" i="3"/>
  <c r="J5" i="3"/>
  <c r="I5" i="3"/>
  <c r="H5" i="3"/>
  <c r="F21" i="10" l="1"/>
  <c r="J21" i="10"/>
  <c r="E21" i="10"/>
  <c r="I21" i="10"/>
  <c r="D21" i="10"/>
  <c r="H21" i="10"/>
  <c r="L21" i="10"/>
  <c r="G21" i="10"/>
  <c r="K21" i="10"/>
  <c r="F24" i="8"/>
  <c r="J24" i="8"/>
  <c r="D24" i="8"/>
  <c r="H24" i="8"/>
  <c r="L24" i="8"/>
  <c r="E24" i="8"/>
  <c r="I24" i="8"/>
  <c r="G24" i="8"/>
  <c r="K24" i="8"/>
  <c r="D11" i="8"/>
  <c r="E11" i="8"/>
  <c r="G11" i="8"/>
  <c r="K11" i="8"/>
  <c r="I11" i="8"/>
  <c r="F11" i="8"/>
  <c r="J11" i="8"/>
  <c r="D30" i="4"/>
  <c r="G26" i="2"/>
  <c r="G28" i="2"/>
  <c r="G29" i="2" s="1"/>
  <c r="F27" i="2"/>
  <c r="F26" i="2"/>
  <c r="F28" i="2" s="1"/>
  <c r="F29" i="2" s="1"/>
  <c r="E26" i="2"/>
  <c r="D26" i="2"/>
  <c r="C28" i="2"/>
  <c r="L27" i="2"/>
  <c r="L28" i="2" s="1"/>
  <c r="L29" i="2" s="1"/>
  <c r="K27" i="2"/>
  <c r="J27" i="2"/>
  <c r="I27" i="2"/>
  <c r="I28" i="2" s="1"/>
  <c r="I29" i="2" s="1"/>
  <c r="H27" i="2"/>
  <c r="H28" i="2" s="1"/>
  <c r="H29" i="2" s="1"/>
  <c r="G27" i="2"/>
  <c r="E27" i="2"/>
  <c r="E28" i="2" s="1"/>
  <c r="E29" i="2" s="1"/>
  <c r="D27" i="2"/>
  <c r="D28" i="2" s="1"/>
  <c r="D29" i="2" s="1"/>
  <c r="L26" i="2"/>
  <c r="K26" i="2"/>
  <c r="K28" i="2" s="1"/>
  <c r="K29" i="2" s="1"/>
  <c r="J26" i="2"/>
  <c r="J28" i="2" s="1"/>
  <c r="J29" i="2" s="1"/>
  <c r="I26" i="2"/>
  <c r="H26" i="2"/>
  <c r="G22" i="2"/>
  <c r="F22" i="2"/>
  <c r="E22" i="2"/>
  <c r="D22" i="2"/>
  <c r="C24" i="2"/>
  <c r="L23" i="2"/>
  <c r="K23" i="2"/>
  <c r="J23" i="2"/>
  <c r="I23" i="2"/>
  <c r="H23" i="2"/>
  <c r="G23" i="2"/>
  <c r="F23" i="2"/>
  <c r="E23" i="2"/>
  <c r="D23" i="2"/>
  <c r="L22" i="2"/>
  <c r="K22" i="2"/>
  <c r="J22" i="2"/>
  <c r="I22" i="2"/>
  <c r="H22" i="2"/>
  <c r="G15" i="2"/>
  <c r="F15" i="2"/>
  <c r="E15" i="2"/>
  <c r="C20" i="2"/>
  <c r="L19" i="2"/>
  <c r="K19" i="2"/>
  <c r="J19" i="2"/>
  <c r="I19" i="2"/>
  <c r="H19" i="2"/>
  <c r="G19" i="2"/>
  <c r="F19" i="2"/>
  <c r="E19" i="2"/>
  <c r="D19" i="2"/>
  <c r="L18" i="2"/>
  <c r="K18" i="2"/>
  <c r="J18" i="2"/>
  <c r="I18" i="2"/>
  <c r="H18" i="2"/>
  <c r="G18" i="2"/>
  <c r="F18" i="2"/>
  <c r="E18" i="2"/>
  <c r="D18" i="2"/>
  <c r="L17" i="2"/>
  <c r="K17" i="2"/>
  <c r="J17" i="2"/>
  <c r="I17" i="2"/>
  <c r="H17" i="2"/>
  <c r="G17" i="2"/>
  <c r="F17" i="2"/>
  <c r="E17" i="2"/>
  <c r="D17" i="2"/>
  <c r="L16" i="2"/>
  <c r="K16" i="2"/>
  <c r="J16" i="2"/>
  <c r="I16" i="2"/>
  <c r="H16" i="2"/>
  <c r="G16" i="2"/>
  <c r="F16" i="2"/>
  <c r="E16" i="2"/>
  <c r="D16" i="2"/>
  <c r="L15" i="2"/>
  <c r="K15" i="2"/>
  <c r="J15" i="2"/>
  <c r="I15" i="2"/>
  <c r="H15" i="2"/>
  <c r="D15" i="2"/>
  <c r="L14" i="2"/>
  <c r="K14" i="2"/>
  <c r="J14" i="2"/>
  <c r="I14" i="2"/>
  <c r="H14" i="2"/>
  <c r="G14" i="2"/>
  <c r="F14" i="2"/>
  <c r="E14" i="2"/>
  <c r="D14" i="2"/>
  <c r="G11" i="2"/>
  <c r="F11" i="2"/>
  <c r="E11" i="2"/>
  <c r="D11" i="2"/>
  <c r="C12" i="2"/>
  <c r="L11" i="2"/>
  <c r="K11" i="2"/>
  <c r="J11" i="2"/>
  <c r="I11" i="2"/>
  <c r="H11" i="2"/>
  <c r="L10" i="2"/>
  <c r="K10" i="2"/>
  <c r="J10" i="2"/>
  <c r="I10" i="2"/>
  <c r="H10" i="2"/>
  <c r="G10" i="2"/>
  <c r="F10" i="2"/>
  <c r="E10" i="2"/>
  <c r="D10" i="2"/>
  <c r="G5" i="2"/>
  <c r="G6" i="2"/>
  <c r="F5" i="2"/>
  <c r="E5" i="2"/>
  <c r="D6" i="2"/>
  <c r="D5" i="2"/>
  <c r="C8" i="2"/>
  <c r="L7" i="2"/>
  <c r="K7" i="2"/>
  <c r="J7" i="2"/>
  <c r="I7" i="2"/>
  <c r="H7" i="2"/>
  <c r="G7" i="2"/>
  <c r="F7" i="2"/>
  <c r="E7" i="2"/>
  <c r="D7" i="2"/>
  <c r="L6" i="2"/>
  <c r="K6" i="2"/>
  <c r="J6" i="2"/>
  <c r="I6" i="2"/>
  <c r="H6" i="2"/>
  <c r="F6" i="2"/>
  <c r="E6" i="2"/>
  <c r="L5" i="2"/>
  <c r="K5" i="2"/>
  <c r="J5" i="2"/>
  <c r="I5" i="2"/>
  <c r="H5" i="2"/>
  <c r="G27" i="1"/>
  <c r="G22" i="1"/>
  <c r="F22" i="1"/>
  <c r="E12" i="1"/>
  <c r="E16" i="1"/>
  <c r="D17" i="1"/>
  <c r="F27" i="1"/>
  <c r="F26" i="1"/>
  <c r="D27" i="1"/>
  <c r="C28" i="1"/>
  <c r="L27" i="1"/>
  <c r="K27" i="1"/>
  <c r="J27" i="1"/>
  <c r="I27" i="1"/>
  <c r="H27" i="1"/>
  <c r="E27" i="1"/>
  <c r="L26" i="1"/>
  <c r="K26" i="1"/>
  <c r="J26" i="1"/>
  <c r="I26" i="1"/>
  <c r="H26" i="1"/>
  <c r="G26" i="1"/>
  <c r="E26" i="1"/>
  <c r="D26" i="1"/>
  <c r="E22" i="1"/>
  <c r="D22" i="1"/>
  <c r="C24" i="1"/>
  <c r="L23" i="1"/>
  <c r="K23" i="1"/>
  <c r="J23" i="1"/>
  <c r="I23" i="1"/>
  <c r="H23" i="1"/>
  <c r="G23" i="1"/>
  <c r="F23" i="1"/>
  <c r="E23" i="1"/>
  <c r="D23" i="1"/>
  <c r="L22" i="1"/>
  <c r="K22" i="1"/>
  <c r="J22" i="1"/>
  <c r="I22" i="1"/>
  <c r="H22" i="1"/>
  <c r="G16" i="1"/>
  <c r="F19" i="1"/>
  <c r="F15" i="1"/>
  <c r="F16" i="1"/>
  <c r="E15" i="1"/>
  <c r="D16" i="1"/>
  <c r="C20" i="1"/>
  <c r="L19" i="1"/>
  <c r="K19" i="1"/>
  <c r="J19" i="1"/>
  <c r="I19" i="1"/>
  <c r="H19" i="1"/>
  <c r="G19" i="1"/>
  <c r="E19" i="1"/>
  <c r="D19" i="1"/>
  <c r="L18" i="1"/>
  <c r="K18" i="1"/>
  <c r="J18" i="1"/>
  <c r="I18" i="1"/>
  <c r="H18" i="1"/>
  <c r="G18" i="1"/>
  <c r="F18" i="1"/>
  <c r="E18" i="1"/>
  <c r="D18" i="1"/>
  <c r="L17" i="1"/>
  <c r="K17" i="1"/>
  <c r="J17" i="1"/>
  <c r="I17" i="1"/>
  <c r="H17" i="1"/>
  <c r="G17" i="1"/>
  <c r="F17" i="1"/>
  <c r="E17" i="1"/>
  <c r="L16" i="1"/>
  <c r="K16" i="1"/>
  <c r="J16" i="1"/>
  <c r="I16" i="1"/>
  <c r="H16" i="1"/>
  <c r="L15" i="1"/>
  <c r="K15" i="1"/>
  <c r="J15" i="1"/>
  <c r="I15" i="1"/>
  <c r="H15" i="1"/>
  <c r="G15" i="1"/>
  <c r="D15" i="1"/>
  <c r="G12" i="1"/>
  <c r="F12" i="1"/>
  <c r="D12" i="1"/>
  <c r="C13" i="1"/>
  <c r="L12" i="1"/>
  <c r="K12" i="1"/>
  <c r="J12" i="1"/>
  <c r="I12" i="1"/>
  <c r="H12" i="1"/>
  <c r="L11" i="1"/>
  <c r="K11" i="1"/>
  <c r="J11" i="1"/>
  <c r="I11" i="1"/>
  <c r="H11" i="1"/>
  <c r="G11" i="1"/>
  <c r="F11" i="1"/>
  <c r="E11" i="1"/>
  <c r="D11" i="1"/>
  <c r="G5" i="1"/>
  <c r="F5" i="1"/>
  <c r="E5" i="1"/>
  <c r="D5" i="1"/>
  <c r="C9" i="1"/>
  <c r="L8" i="1"/>
  <c r="K8" i="1"/>
  <c r="J8" i="1"/>
  <c r="I8" i="1"/>
  <c r="H8" i="1"/>
  <c r="G8" i="1"/>
  <c r="F8" i="1"/>
  <c r="E8" i="1"/>
  <c r="D8" i="1"/>
  <c r="L7" i="1"/>
  <c r="K7" i="1"/>
  <c r="J7" i="1"/>
  <c r="I7" i="1"/>
  <c r="H7" i="1"/>
  <c r="G7" i="1"/>
  <c r="F7" i="1"/>
  <c r="E7" i="1"/>
  <c r="D7" i="1"/>
  <c r="L6" i="1"/>
  <c r="K6" i="1"/>
  <c r="J6" i="1"/>
  <c r="I6" i="1"/>
  <c r="H6" i="1"/>
  <c r="G6" i="1"/>
  <c r="F6" i="1"/>
  <c r="E6" i="1"/>
  <c r="D6" i="1"/>
  <c r="L5" i="1"/>
  <c r="K5" i="1"/>
  <c r="J5" i="1"/>
  <c r="I5" i="1"/>
  <c r="H5" i="1"/>
  <c r="D27" i="4" l="1"/>
  <c r="J25" i="10"/>
  <c r="F25" i="10"/>
  <c r="K25" i="10"/>
  <c r="H25" i="10"/>
  <c r="G25" i="10"/>
  <c r="E25" i="10"/>
  <c r="I25" i="10"/>
  <c r="D25" i="10"/>
  <c r="L25" i="10"/>
  <c r="D29" i="10"/>
  <c r="D30" i="10" s="1"/>
  <c r="I29" i="10"/>
  <c r="I30" i="10" s="1"/>
  <c r="G29" i="10"/>
  <c r="K29" i="10"/>
  <c r="K30" i="10" s="1"/>
  <c r="E29" i="10"/>
  <c r="E30" i="10" s="1"/>
  <c r="L14" i="10"/>
  <c r="K14" i="10"/>
  <c r="J14" i="10"/>
  <c r="I14" i="10"/>
  <c r="H14" i="10"/>
  <c r="G14" i="10"/>
  <c r="F14" i="10"/>
  <c r="E14" i="10"/>
  <c r="D14" i="10"/>
  <c r="L9" i="10"/>
  <c r="K9" i="10"/>
  <c r="J9" i="10"/>
  <c r="I9" i="10"/>
  <c r="I10" i="10" s="1"/>
  <c r="H9" i="10"/>
  <c r="G9" i="10"/>
  <c r="F9" i="10"/>
  <c r="E9" i="10"/>
  <c r="E10" i="10" s="1"/>
  <c r="D9" i="10"/>
  <c r="L8" i="10"/>
  <c r="K8" i="10"/>
  <c r="J8" i="10"/>
  <c r="J10" i="10" s="1"/>
  <c r="I8" i="10"/>
  <c r="H8" i="10"/>
  <c r="G8" i="10"/>
  <c r="F8" i="10"/>
  <c r="F10" i="10" s="1"/>
  <c r="E8" i="10"/>
  <c r="D8" i="10"/>
  <c r="L10" i="10"/>
  <c r="K10" i="10"/>
  <c r="H10" i="10"/>
  <c r="G10" i="10"/>
  <c r="D10" i="10"/>
  <c r="G28" i="9"/>
  <c r="L24" i="9"/>
  <c r="E24" i="9"/>
  <c r="D24" i="9"/>
  <c r="I20" i="9"/>
  <c r="F20" i="9"/>
  <c r="E20" i="9"/>
  <c r="K12" i="9"/>
  <c r="J12" i="9"/>
  <c r="F12" i="9"/>
  <c r="L8" i="9"/>
  <c r="I8" i="9"/>
  <c r="H8" i="9"/>
  <c r="E8" i="9"/>
  <c r="D8" i="9"/>
  <c r="K28" i="9"/>
  <c r="I24" i="9"/>
  <c r="H24" i="9"/>
  <c r="J20" i="9"/>
  <c r="G12" i="9"/>
  <c r="K8" i="9"/>
  <c r="J8" i="9"/>
  <c r="G8" i="9"/>
  <c r="F8" i="9"/>
  <c r="L32" i="8"/>
  <c r="K32" i="8"/>
  <c r="J32" i="8"/>
  <c r="I32" i="8"/>
  <c r="H32" i="8"/>
  <c r="G32" i="8"/>
  <c r="F32" i="8"/>
  <c r="E32" i="8"/>
  <c r="D32" i="8"/>
  <c r="L28" i="8"/>
  <c r="K28" i="8"/>
  <c r="J28" i="8"/>
  <c r="I28" i="8"/>
  <c r="H28" i="8"/>
  <c r="G28" i="8"/>
  <c r="F28" i="8"/>
  <c r="E28" i="8"/>
  <c r="D28" i="8"/>
  <c r="L15" i="8"/>
  <c r="K15" i="8"/>
  <c r="J15" i="8"/>
  <c r="I15" i="8"/>
  <c r="H15" i="8"/>
  <c r="G15" i="8"/>
  <c r="F15" i="8"/>
  <c r="E15" i="8"/>
  <c r="D15" i="8"/>
  <c r="L9" i="8"/>
  <c r="K9" i="8"/>
  <c r="J9" i="8"/>
  <c r="I9" i="8"/>
  <c r="H9" i="8"/>
  <c r="G9" i="8"/>
  <c r="F9" i="8"/>
  <c r="E9" i="8"/>
  <c r="D9" i="8"/>
  <c r="I29" i="7"/>
  <c r="E29" i="7"/>
  <c r="K25" i="7"/>
  <c r="G25" i="7"/>
  <c r="L20" i="7"/>
  <c r="K20" i="7"/>
  <c r="J20" i="7"/>
  <c r="I20" i="7"/>
  <c r="H20" i="7"/>
  <c r="G20" i="7"/>
  <c r="F20" i="7"/>
  <c r="E20" i="7"/>
  <c r="D20" i="7"/>
  <c r="L29" i="7"/>
  <c r="K29" i="7"/>
  <c r="J29" i="7"/>
  <c r="H29" i="7"/>
  <c r="G29" i="7"/>
  <c r="F29" i="7"/>
  <c r="D29" i="7"/>
  <c r="L25" i="7"/>
  <c r="J25" i="7"/>
  <c r="I25" i="7"/>
  <c r="H25" i="7"/>
  <c r="F25" i="7"/>
  <c r="E25" i="7"/>
  <c r="D25" i="7"/>
  <c r="K21" i="7"/>
  <c r="J21" i="7"/>
  <c r="I21" i="7"/>
  <c r="G21" i="7"/>
  <c r="F21" i="7"/>
  <c r="E21" i="7"/>
  <c r="L13" i="7"/>
  <c r="J13" i="7"/>
  <c r="H13" i="7"/>
  <c r="F13" i="7"/>
  <c r="D13" i="7"/>
  <c r="L8" i="7"/>
  <c r="K8" i="7"/>
  <c r="J8" i="7"/>
  <c r="J9" i="7" s="1"/>
  <c r="I8" i="7"/>
  <c r="H8" i="7"/>
  <c r="G8" i="7"/>
  <c r="F8" i="7"/>
  <c r="F9" i="7" s="1"/>
  <c r="E8" i="7"/>
  <c r="D8" i="7"/>
  <c r="H9" i="7"/>
  <c r="D9" i="7"/>
  <c r="K9" i="7"/>
  <c r="G9" i="7"/>
  <c r="K27" i="6"/>
  <c r="G27" i="6"/>
  <c r="L24" i="6"/>
  <c r="E24" i="6"/>
  <c r="D24" i="6"/>
  <c r="I20" i="6"/>
  <c r="K20" i="6"/>
  <c r="E20" i="6"/>
  <c r="I27" i="6"/>
  <c r="E27" i="6"/>
  <c r="F24" i="6"/>
  <c r="J24" i="6"/>
  <c r="I24" i="6"/>
  <c r="H24" i="6"/>
  <c r="G20" i="6"/>
  <c r="K13" i="6"/>
  <c r="G13" i="6"/>
  <c r="L8" i="6"/>
  <c r="K8" i="6"/>
  <c r="J8" i="6"/>
  <c r="I8" i="6"/>
  <c r="I9" i="6" s="1"/>
  <c r="H8" i="6"/>
  <c r="G8" i="6"/>
  <c r="G9" i="6" s="1"/>
  <c r="F8" i="6"/>
  <c r="E8" i="6"/>
  <c r="E9" i="6" s="1"/>
  <c r="D8" i="6"/>
  <c r="K9" i="6"/>
  <c r="G30" i="10" l="1"/>
  <c r="E12" i="9"/>
  <c r="I12" i="9"/>
  <c r="D12" i="9"/>
  <c r="H12" i="9"/>
  <c r="L12" i="9"/>
  <c r="G20" i="9"/>
  <c r="K20" i="9"/>
  <c r="G24" i="9"/>
  <c r="K24" i="9"/>
  <c r="F24" i="9"/>
  <c r="J24" i="9"/>
  <c r="E28" i="9"/>
  <c r="I28" i="9"/>
  <c r="I29" i="9" s="1"/>
  <c r="D28" i="9"/>
  <c r="H28" i="9"/>
  <c r="L28" i="9"/>
  <c r="D20" i="9"/>
  <c r="H20" i="9"/>
  <c r="L20" i="9"/>
  <c r="F28" i="9"/>
  <c r="J28" i="9"/>
  <c r="J29" i="9" s="1"/>
  <c r="D33" i="8"/>
  <c r="H33" i="8"/>
  <c r="L33" i="8"/>
  <c r="H21" i="7"/>
  <c r="L21" i="7"/>
  <c r="G24" i="6"/>
  <c r="G28" i="6" s="1"/>
  <c r="K24" i="6"/>
  <c r="F27" i="6"/>
  <c r="J27" i="6"/>
  <c r="D27" i="6"/>
  <c r="H27" i="6"/>
  <c r="L27" i="6"/>
  <c r="E13" i="6"/>
  <c r="E28" i="6" s="1"/>
  <c r="I13" i="6"/>
  <c r="I28" i="6" s="1"/>
  <c r="E9" i="7"/>
  <c r="I9" i="7"/>
  <c r="D9" i="6"/>
  <c r="F9" i="6"/>
  <c r="H9" i="6"/>
  <c r="J9" i="6"/>
  <c r="L9" i="6"/>
  <c r="L29" i="10"/>
  <c r="L30" i="10" s="1"/>
  <c r="J29" i="10"/>
  <c r="J30" i="10" s="1"/>
  <c r="H29" i="10"/>
  <c r="H30" i="10" s="1"/>
  <c r="F29" i="10"/>
  <c r="F30" i="10" s="1"/>
  <c r="E33" i="8"/>
  <c r="G33" i="8"/>
  <c r="I33" i="8"/>
  <c r="K33" i="8"/>
  <c r="F33" i="8"/>
  <c r="J33" i="8"/>
  <c r="J30" i="7"/>
  <c r="F30" i="7"/>
  <c r="D21" i="7"/>
  <c r="D30" i="7" s="1"/>
  <c r="H30" i="7"/>
  <c r="E13" i="7"/>
  <c r="G13" i="7"/>
  <c r="G30" i="7" s="1"/>
  <c r="I13" i="7"/>
  <c r="K13" i="7"/>
  <c r="K30" i="7" s="1"/>
  <c r="L9" i="7"/>
  <c r="L30" i="7" s="1"/>
  <c r="D20" i="6"/>
  <c r="F20" i="6"/>
  <c r="H20" i="6"/>
  <c r="J20" i="6"/>
  <c r="L20" i="6"/>
  <c r="K28" i="6"/>
  <c r="D13" i="6"/>
  <c r="F13" i="6"/>
  <c r="H13" i="6"/>
  <c r="J13" i="6"/>
  <c r="L13" i="6"/>
  <c r="L27" i="4"/>
  <c r="K27" i="4"/>
  <c r="J27" i="4"/>
  <c r="I27" i="4"/>
  <c r="H27" i="4"/>
  <c r="G27" i="4"/>
  <c r="F27" i="4"/>
  <c r="E27" i="4"/>
  <c r="L25" i="4"/>
  <c r="K25" i="4"/>
  <c r="J25" i="4"/>
  <c r="I25" i="4"/>
  <c r="H25" i="4"/>
  <c r="G25" i="4"/>
  <c r="F25" i="4"/>
  <c r="E25" i="4"/>
  <c r="D25" i="4"/>
  <c r="D8" i="4"/>
  <c r="E8" i="4"/>
  <c r="F8" i="4"/>
  <c r="G8" i="4"/>
  <c r="H8" i="4"/>
  <c r="I8" i="4"/>
  <c r="J8" i="4"/>
  <c r="K8" i="4"/>
  <c r="L8" i="4"/>
  <c r="L29" i="5"/>
  <c r="K29" i="5"/>
  <c r="J29" i="5"/>
  <c r="I29" i="5"/>
  <c r="H29" i="5"/>
  <c r="G29" i="5"/>
  <c r="F29" i="5"/>
  <c r="E29" i="5"/>
  <c r="D29" i="5"/>
  <c r="L25" i="5"/>
  <c r="K25" i="5"/>
  <c r="J25" i="5"/>
  <c r="I25" i="5"/>
  <c r="H25" i="5"/>
  <c r="G25" i="5"/>
  <c r="F25" i="5"/>
  <c r="E25" i="5"/>
  <c r="D25" i="5"/>
  <c r="L21" i="5"/>
  <c r="K21" i="5"/>
  <c r="J21" i="5"/>
  <c r="I21" i="5"/>
  <c r="H21" i="5"/>
  <c r="G21" i="5"/>
  <c r="F21" i="5"/>
  <c r="E21" i="5"/>
  <c r="D21" i="5"/>
  <c r="L13" i="5"/>
  <c r="K13" i="5"/>
  <c r="J13" i="5"/>
  <c r="I13" i="5"/>
  <c r="H13" i="5"/>
  <c r="G13" i="5"/>
  <c r="F13" i="5"/>
  <c r="E13" i="5"/>
  <c r="D13" i="5"/>
  <c r="L8" i="5"/>
  <c r="K8" i="5"/>
  <c r="J8" i="5"/>
  <c r="I8" i="5"/>
  <c r="H8" i="5"/>
  <c r="G8" i="5"/>
  <c r="F8" i="5"/>
  <c r="E8" i="5"/>
  <c r="D8" i="5"/>
  <c r="L9" i="5"/>
  <c r="K9" i="5"/>
  <c r="J9" i="5"/>
  <c r="I9" i="5"/>
  <c r="H9" i="5"/>
  <c r="G9" i="5"/>
  <c r="F9" i="5"/>
  <c r="E9" i="5"/>
  <c r="D9" i="5"/>
  <c r="F29" i="9" l="1"/>
  <c r="E29" i="9"/>
  <c r="K29" i="9"/>
  <c r="G29" i="9"/>
  <c r="L29" i="9"/>
  <c r="H29" i="9"/>
  <c r="D29" i="9"/>
  <c r="E30" i="7"/>
  <c r="I30" i="7"/>
  <c r="J28" i="6"/>
  <c r="L28" i="6"/>
  <c r="F28" i="6"/>
  <c r="H28" i="6"/>
  <c r="D28" i="6"/>
  <c r="L30" i="5"/>
  <c r="K30" i="5"/>
  <c r="J30" i="5"/>
  <c r="I30" i="5"/>
  <c r="H30" i="5"/>
  <c r="G30" i="5"/>
  <c r="F30" i="5"/>
  <c r="E30" i="5"/>
  <c r="D30" i="5"/>
  <c r="L21" i="4"/>
  <c r="K21" i="4"/>
  <c r="J21" i="4"/>
  <c r="I21" i="4"/>
  <c r="H21" i="4"/>
  <c r="G21" i="4"/>
  <c r="G31" i="4" s="1"/>
  <c r="F21" i="4"/>
  <c r="E21" i="4"/>
  <c r="D21" i="4"/>
  <c r="L13" i="4"/>
  <c r="K13" i="4"/>
  <c r="J13" i="4"/>
  <c r="I13" i="4"/>
  <c r="H13" i="4"/>
  <c r="G13" i="4"/>
  <c r="F13" i="4"/>
  <c r="E13" i="4"/>
  <c r="D13" i="4"/>
  <c r="L29" i="3"/>
  <c r="K29" i="3"/>
  <c r="J29" i="3"/>
  <c r="I29" i="3"/>
  <c r="H29" i="3"/>
  <c r="G29" i="3"/>
  <c r="F29" i="3"/>
  <c r="E29" i="3"/>
  <c r="D29" i="3"/>
  <c r="L25" i="3"/>
  <c r="K25" i="3"/>
  <c r="J25" i="3"/>
  <c r="I25" i="3"/>
  <c r="H25" i="3"/>
  <c r="G25" i="3"/>
  <c r="F25" i="3"/>
  <c r="E25" i="3"/>
  <c r="D25" i="3"/>
  <c r="K21" i="3"/>
  <c r="I21" i="3"/>
  <c r="G21" i="3"/>
  <c r="E21" i="3"/>
  <c r="L13" i="3"/>
  <c r="K13" i="3"/>
  <c r="J13" i="3"/>
  <c r="I13" i="3"/>
  <c r="H13" i="3"/>
  <c r="G13" i="3"/>
  <c r="F13" i="3"/>
  <c r="E13" i="3"/>
  <c r="D13" i="3"/>
  <c r="L8" i="3"/>
  <c r="K8" i="3"/>
  <c r="J8" i="3"/>
  <c r="I8" i="3"/>
  <c r="H8" i="3"/>
  <c r="G8" i="3"/>
  <c r="F8" i="3"/>
  <c r="E8" i="3"/>
  <c r="D8" i="3"/>
  <c r="J9" i="3"/>
  <c r="L9" i="3"/>
  <c r="K9" i="3"/>
  <c r="H9" i="3"/>
  <c r="E9" i="3"/>
  <c r="K24" i="2"/>
  <c r="J24" i="2"/>
  <c r="I24" i="2"/>
  <c r="G24" i="2"/>
  <c r="F24" i="2"/>
  <c r="E24" i="2"/>
  <c r="I12" i="2"/>
  <c r="E12" i="2"/>
  <c r="L8" i="2"/>
  <c r="H24" i="2"/>
  <c r="D24" i="2"/>
  <c r="L12" i="2"/>
  <c r="K12" i="2"/>
  <c r="J12" i="2"/>
  <c r="H12" i="2"/>
  <c r="G12" i="2"/>
  <c r="F12" i="2"/>
  <c r="D12" i="2"/>
  <c r="L28" i="1"/>
  <c r="J28" i="1"/>
  <c r="H28" i="1"/>
  <c r="F28" i="1"/>
  <c r="D28" i="1"/>
  <c r="K24" i="1"/>
  <c r="I24" i="1"/>
  <c r="G24" i="1"/>
  <c r="E24" i="1"/>
  <c r="D24" i="1"/>
  <c r="K30" i="3" l="1"/>
  <c r="D9" i="3"/>
  <c r="F9" i="3"/>
  <c r="I9" i="3"/>
  <c r="I30" i="3" s="1"/>
  <c r="D20" i="2"/>
  <c r="F20" i="2"/>
  <c r="H20" i="2"/>
  <c r="J20" i="2"/>
  <c r="L20" i="2"/>
  <c r="E20" i="2"/>
  <c r="G20" i="2"/>
  <c r="I20" i="2"/>
  <c r="K20" i="2"/>
  <c r="K8" i="2"/>
  <c r="J8" i="2"/>
  <c r="F24" i="1"/>
  <c r="H24" i="1"/>
  <c r="J24" i="1"/>
  <c r="L24" i="1"/>
  <c r="F21" i="3"/>
  <c r="H21" i="3"/>
  <c r="H30" i="3" s="1"/>
  <c r="J21" i="3"/>
  <c r="J30" i="3" s="1"/>
  <c r="L21" i="3"/>
  <c r="L30" i="3" s="1"/>
  <c r="G9" i="3"/>
  <c r="G30" i="3" s="1"/>
  <c r="D21" i="3"/>
  <c r="E30" i="3"/>
  <c r="L24" i="2"/>
  <c r="I8" i="2"/>
  <c r="H8" i="2"/>
  <c r="G8" i="2"/>
  <c r="F8" i="2"/>
  <c r="E8" i="2"/>
  <c r="D8" i="2"/>
  <c r="E28" i="1"/>
  <c r="G28" i="1"/>
  <c r="I28" i="1"/>
  <c r="K28" i="1"/>
  <c r="L20" i="1"/>
  <c r="K20" i="1"/>
  <c r="I20" i="1"/>
  <c r="H20" i="1"/>
  <c r="G20" i="1"/>
  <c r="F20" i="1"/>
  <c r="E20" i="1"/>
  <c r="D20" i="1"/>
  <c r="J9" i="1"/>
  <c r="J13" i="1"/>
  <c r="I9" i="1"/>
  <c r="I13" i="1"/>
  <c r="D30" i="3" l="1"/>
  <c r="F30" i="3"/>
  <c r="J20" i="1"/>
  <c r="J29" i="1" s="1"/>
  <c r="D9" i="1"/>
  <c r="F9" i="1"/>
  <c r="H9" i="1"/>
  <c r="L9" i="1"/>
  <c r="D13" i="1"/>
  <c r="F13" i="1"/>
  <c r="F29" i="1" s="1"/>
  <c r="H13" i="1"/>
  <c r="L13" i="1"/>
  <c r="E9" i="1"/>
  <c r="G9" i="1"/>
  <c r="K9" i="1"/>
  <c r="K29" i="1" s="1"/>
  <c r="E13" i="1"/>
  <c r="E29" i="1" s="1"/>
  <c r="G13" i="1"/>
  <c r="K13" i="1"/>
  <c r="D29" i="1"/>
  <c r="I29" i="1"/>
  <c r="L29" i="1" l="1"/>
  <c r="H29" i="1"/>
  <c r="G29" i="1"/>
</calcChain>
</file>

<file path=xl/sharedStrings.xml><?xml version="1.0" encoding="utf-8"?>
<sst xmlns="http://schemas.openxmlformats.org/spreadsheetml/2006/main" count="386" uniqueCount="93">
  <si>
    <t>№ рецепта</t>
  </si>
  <si>
    <t>энергетическая ценность ккал</t>
  </si>
  <si>
    <t>наименование блюд</t>
  </si>
  <si>
    <t>выход гр</t>
  </si>
  <si>
    <t>белки гр</t>
  </si>
  <si>
    <t>жиры гр</t>
  </si>
  <si>
    <t>углеводы гр</t>
  </si>
  <si>
    <t>С, мг</t>
  </si>
  <si>
    <t>Са, мг</t>
  </si>
  <si>
    <t>Fe, мг</t>
  </si>
  <si>
    <t>вит В1, мг</t>
  </si>
  <si>
    <t>вит В2, мг</t>
  </si>
  <si>
    <t xml:space="preserve">                                                                                                                             день 1 ( понедельник)</t>
  </si>
  <si>
    <t xml:space="preserve">                                                                                                                            завтрак</t>
  </si>
  <si>
    <t>каша манная вязкая</t>
  </si>
  <si>
    <t>бутерброды с маслом</t>
  </si>
  <si>
    <t>чай сладкий с молоком</t>
  </si>
  <si>
    <t>гост</t>
  </si>
  <si>
    <t>конфеты шоколадные</t>
  </si>
  <si>
    <t xml:space="preserve">                                                                                                                           завтрак 2</t>
  </si>
  <si>
    <t>сок фруктовый</t>
  </si>
  <si>
    <t>печенье</t>
  </si>
  <si>
    <t xml:space="preserve">                                                                                                                            обед</t>
  </si>
  <si>
    <t>жаркое по домащнему</t>
  </si>
  <si>
    <t>хлеб пшеничный</t>
  </si>
  <si>
    <t>горошек зеленый консервированный</t>
  </si>
  <si>
    <t>компот из свежеморож ягод</t>
  </si>
  <si>
    <t xml:space="preserve">                                                                                                                           полдник</t>
  </si>
  <si>
    <t>блинчики</t>
  </si>
  <si>
    <t xml:space="preserve">                                                                                                                           полдник 2</t>
  </si>
  <si>
    <t>итого за день</t>
  </si>
  <si>
    <t>каша рисовая вязкая</t>
  </si>
  <si>
    <t>какао с молоком</t>
  </si>
  <si>
    <t>суп рыбный из консервов</t>
  </si>
  <si>
    <t>тефтели мясные</t>
  </si>
  <si>
    <t>пюре картофельное</t>
  </si>
  <si>
    <t>кисель</t>
  </si>
  <si>
    <t>огуцы консервированные</t>
  </si>
  <si>
    <t xml:space="preserve">                                                                                                                             день 2 ( вторник)</t>
  </si>
  <si>
    <t xml:space="preserve">                                                                                                                             день 3 ( среда)</t>
  </si>
  <si>
    <t>каша гречневая рассыпчатая</t>
  </si>
  <si>
    <t>бутерброд с повидлом</t>
  </si>
  <si>
    <t>суп картофельный с клецками</t>
  </si>
  <si>
    <t>курица отварная</t>
  </si>
  <si>
    <t>рис отварной</t>
  </si>
  <si>
    <t>салат из морской капусты с раст маслом</t>
  </si>
  <si>
    <t>компот из сухофруктов</t>
  </si>
  <si>
    <t>пирожки печеные из др/теста</t>
  </si>
  <si>
    <t xml:space="preserve">                                                                                                                             день 4 ( четверг)</t>
  </si>
  <si>
    <t>суп молочный с макаронными изд</t>
  </si>
  <si>
    <t>суп картофельный с макаронными изд</t>
  </si>
  <si>
    <t>пряники детские</t>
  </si>
  <si>
    <t>суп-лапша домашняя</t>
  </si>
  <si>
    <t>котлета мясная, рубленая паровая</t>
  </si>
  <si>
    <t>макаронные изделия отварн с масл</t>
  </si>
  <si>
    <t>салат из картофеля с морской капустой и свеклой</t>
  </si>
  <si>
    <t>оладьи</t>
  </si>
  <si>
    <t>компот</t>
  </si>
  <si>
    <t xml:space="preserve">                                                                                                                             день 5 ( пятница)</t>
  </si>
  <si>
    <t>омлет с зеленым горошком</t>
  </si>
  <si>
    <t>огуцы соленые консервированные</t>
  </si>
  <si>
    <t>булочка "Украинская"</t>
  </si>
  <si>
    <t>кефир не жирный</t>
  </si>
  <si>
    <t xml:space="preserve">                                                                                                                             день 6 (понедельник)</t>
  </si>
  <si>
    <t xml:space="preserve">                                                                                                                             день7 ( вторник)</t>
  </si>
  <si>
    <t>суп картофельный с фрикадельками мясными</t>
  </si>
  <si>
    <t>булочка ванильная</t>
  </si>
  <si>
    <t>крендель сахарный</t>
  </si>
  <si>
    <t xml:space="preserve">                                                                                                                             день8 ( среда)</t>
  </si>
  <si>
    <t xml:space="preserve">                                                                                                                             день9 ( четверг)</t>
  </si>
  <si>
    <t>пирог открытй</t>
  </si>
  <si>
    <t xml:space="preserve">                                                                                                                             день 10 ( пятница)</t>
  </si>
  <si>
    <t>рекомендуемая форма составления примерного меню и пищевой ценности приготовляемых блюд ( до 7лет)</t>
  </si>
  <si>
    <t>рекомендуемая форма составления примерного меню и пищевой ценности приготовляемых блюд ( до 7 лет)</t>
  </si>
  <si>
    <t xml:space="preserve">анализ </t>
  </si>
  <si>
    <t>гречка отварная рассыпчатая</t>
  </si>
  <si>
    <t>пудинг рыбный запеченный</t>
  </si>
  <si>
    <t>поджарка из рыбы</t>
  </si>
  <si>
    <t>полоска песочная с повидлом</t>
  </si>
  <si>
    <t>борщ с капустой и картофелем</t>
  </si>
  <si>
    <t>салат овщной с зеленым горошком</t>
  </si>
  <si>
    <t>картофельная запеканка с отварным мясом</t>
  </si>
  <si>
    <t>салат из отварной свеклы с зеленым горошком</t>
  </si>
  <si>
    <t>макароны, запеченные с яйцом</t>
  </si>
  <si>
    <t>пельмени отварные с маслом сливочным</t>
  </si>
  <si>
    <t>салат летний</t>
  </si>
  <si>
    <t>салат из моркови и яблок</t>
  </si>
  <si>
    <t>суфле их отварной говядины паровое</t>
  </si>
  <si>
    <t>тефтели из говядины с рисом ( ежики)</t>
  </si>
  <si>
    <t>салат картофельный с огурцами солеными</t>
  </si>
  <si>
    <t>икра морковная</t>
  </si>
  <si>
    <t>плов с птицей</t>
  </si>
  <si>
    <t>рагу из овощей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</si>
</sst>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1" fillId="0" borderId="2" xfId="0" applyFont="1" applyBorder="1" applyAlignment="1"/>
    <xf numFmtId="0" fontId="0" fillId="0" borderId="4" xfId="0" applyBorder="1" applyAlignment="1"/>
    <xf numFmtId="0" fontId="0" fillId="0" borderId="3" xfId="0" applyBorder="1" applyAlignment="1"/>
    <xf numFmtId="0" fontId="2" fillId="0" borderId="5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N23" sqref="N23"/>
    </sheetView>
  </sheetViews>
  <sheetFormatPr defaultRowHeight="14.4" x14ac:dyDescent="0.3"/>
  <cols>
    <col min="1" max="1" width="4.33203125" customWidth="1"/>
    <col min="2" max="2" width="27.44140625" customWidth="1"/>
    <col min="7" max="7" width="10.5546875" bestFit="1" customWidth="1"/>
  </cols>
  <sheetData>
    <row r="1" spans="1:12" x14ac:dyDescent="0.3">
      <c r="A1" s="7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36" customHeight="1" x14ac:dyDescent="0.3">
      <c r="A2" s="2" t="s">
        <v>0</v>
      </c>
      <c r="B2" s="1" t="s">
        <v>2</v>
      </c>
      <c r="C2" s="2" t="s">
        <v>3</v>
      </c>
      <c r="D2" s="1" t="s">
        <v>4</v>
      </c>
      <c r="E2" s="1" t="s">
        <v>5</v>
      </c>
      <c r="F2" s="1" t="s">
        <v>6</v>
      </c>
      <c r="G2" s="2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4" t="s">
        <v>12</v>
      </c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ht="12.75" customHeight="1" x14ac:dyDescent="0.3">
      <c r="A4" s="4" t="s">
        <v>13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x14ac:dyDescent="0.3">
      <c r="A5" s="1">
        <v>309</v>
      </c>
      <c r="B5" s="1" t="s">
        <v>14</v>
      </c>
      <c r="C5" s="1">
        <v>200</v>
      </c>
      <c r="D5" s="1">
        <f>2.87*C5/100</f>
        <v>5.74</v>
      </c>
      <c r="E5" s="1">
        <f>1.62*C5/100</f>
        <v>3.24</v>
      </c>
      <c r="F5" s="1">
        <f>5.85*C5/100</f>
        <v>11.7</v>
      </c>
      <c r="G5" s="1">
        <f>88.87*C5/100</f>
        <v>177.74</v>
      </c>
      <c r="H5" s="1">
        <f>0.023*C5/100</f>
        <v>4.5999999999999999E-2</v>
      </c>
      <c r="I5" s="1">
        <f>0.01*C5/100</f>
        <v>0.02</v>
      </c>
      <c r="J5" s="1">
        <f>0*C5/100</f>
        <v>0</v>
      </c>
      <c r="K5" s="1">
        <f>4.4*C5/100</f>
        <v>8.8000000000000007</v>
      </c>
      <c r="L5" s="1">
        <f>0.22*C5/100</f>
        <v>0.44</v>
      </c>
    </row>
    <row r="6" spans="1:12" x14ac:dyDescent="0.3">
      <c r="A6" s="1">
        <v>1</v>
      </c>
      <c r="B6" s="1" t="s">
        <v>15</v>
      </c>
      <c r="C6" s="1">
        <v>40</v>
      </c>
      <c r="D6" s="1">
        <f>5.1*C6/100</f>
        <v>2.04</v>
      </c>
      <c r="E6" s="1">
        <f>10.2*C6/100</f>
        <v>4.08</v>
      </c>
      <c r="F6" s="1">
        <f>29.75*C6/100</f>
        <v>11.9</v>
      </c>
      <c r="G6" s="1">
        <f>195*C6/100</f>
        <v>78</v>
      </c>
      <c r="H6" s="1">
        <f>0.12*C6/100</f>
        <v>4.8000000000000001E-2</v>
      </c>
      <c r="I6" s="1">
        <f>0.08*C6/100</f>
        <v>3.2000000000000001E-2</v>
      </c>
      <c r="J6" s="1">
        <f t="shared" ref="J6:J8" si="0">0*C6/100</f>
        <v>0</v>
      </c>
      <c r="K6" s="1">
        <f>23.25*C6/100</f>
        <v>9.3000000000000007</v>
      </c>
      <c r="L6" s="1">
        <f>1.55*C6/100</f>
        <v>0.62</v>
      </c>
    </row>
    <row r="7" spans="1:12" x14ac:dyDescent="0.3">
      <c r="A7" s="1">
        <v>138</v>
      </c>
      <c r="B7" s="1" t="s">
        <v>16</v>
      </c>
      <c r="C7" s="1">
        <v>150</v>
      </c>
      <c r="D7" s="1">
        <f>1.56*C7/100</f>
        <v>2.34</v>
      </c>
      <c r="E7" s="1">
        <f>1.62*C7/100</f>
        <v>2.4300000000000002</v>
      </c>
      <c r="F7" s="1">
        <f>13.95*C7/100</f>
        <v>20.925000000000001</v>
      </c>
      <c r="G7" s="1">
        <f>54.34*C7/100</f>
        <v>81.510000000000005</v>
      </c>
      <c r="H7" s="1">
        <f>0.01*C7/100</f>
        <v>1.4999999999999999E-2</v>
      </c>
      <c r="I7" s="1">
        <f>0.07*C7/100</f>
        <v>0.10500000000000002</v>
      </c>
      <c r="J7" s="1">
        <f>0.33*C7/100</f>
        <v>0.495</v>
      </c>
      <c r="K7" s="1">
        <f>64.05*C7/100</f>
        <v>96.075000000000003</v>
      </c>
      <c r="L7" s="1">
        <f>0.32*C7/100</f>
        <v>0.48</v>
      </c>
    </row>
    <row r="8" spans="1:12" x14ac:dyDescent="0.3">
      <c r="A8" s="1" t="s">
        <v>17</v>
      </c>
      <c r="B8" s="1" t="s">
        <v>18</v>
      </c>
      <c r="C8" s="1">
        <v>10</v>
      </c>
      <c r="D8" s="1">
        <f>6.92*C8/100</f>
        <v>0.69200000000000006</v>
      </c>
      <c r="E8" s="1">
        <f>25.67*C8/100</f>
        <v>2.5670000000000006</v>
      </c>
      <c r="F8" s="1">
        <f>76.72*C8/100</f>
        <v>7.6720000000000006</v>
      </c>
      <c r="G8" s="1">
        <f>230*C8/100</f>
        <v>23</v>
      </c>
      <c r="H8" s="1">
        <f>0.33*C8/100</f>
        <v>3.3000000000000002E-2</v>
      </c>
      <c r="I8" s="1">
        <f t="shared" ref="I8" si="1">0*C8/100</f>
        <v>0</v>
      </c>
      <c r="J8" s="1">
        <f t="shared" si="0"/>
        <v>0</v>
      </c>
      <c r="K8" s="1">
        <f>186.67*C8/100</f>
        <v>18.666999999999998</v>
      </c>
      <c r="L8" s="1">
        <f>1.83*C8/100</f>
        <v>0.183</v>
      </c>
    </row>
    <row r="9" spans="1:12" x14ac:dyDescent="0.3">
      <c r="A9" s="1"/>
      <c r="B9" s="1"/>
      <c r="C9" s="3">
        <f>SUM(C5:C8)</f>
        <v>400</v>
      </c>
      <c r="D9" s="3">
        <f>SUM(D5:D8)</f>
        <v>10.812000000000001</v>
      </c>
      <c r="E9" s="3">
        <f t="shared" ref="E9:L9" si="2">SUM(E5:E8)</f>
        <v>12.317</v>
      </c>
      <c r="F9" s="3">
        <f t="shared" si="2"/>
        <v>52.197000000000003</v>
      </c>
      <c r="G9" s="3">
        <f t="shared" si="2"/>
        <v>360.25</v>
      </c>
      <c r="H9" s="3">
        <f t="shared" si="2"/>
        <v>0.14200000000000002</v>
      </c>
      <c r="I9" s="3">
        <f t="shared" si="2"/>
        <v>0.15700000000000003</v>
      </c>
      <c r="J9" s="3">
        <f t="shared" si="2"/>
        <v>0.495</v>
      </c>
      <c r="K9" s="3">
        <f t="shared" si="2"/>
        <v>132.84200000000001</v>
      </c>
      <c r="L9" s="3">
        <f t="shared" si="2"/>
        <v>1.7230000000000001</v>
      </c>
    </row>
    <row r="10" spans="1:12" ht="12" customHeight="1" x14ac:dyDescent="0.3">
      <c r="A10" s="4" t="s">
        <v>19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</row>
    <row r="11" spans="1:12" x14ac:dyDescent="0.3">
      <c r="A11" s="1">
        <v>134</v>
      </c>
      <c r="B11" s="1" t="s">
        <v>20</v>
      </c>
      <c r="C11" s="1">
        <v>85</v>
      </c>
      <c r="D11" s="1">
        <f>0.5*C11/100</f>
        <v>0.42499999999999999</v>
      </c>
      <c r="E11" s="1">
        <f>0.1*C11/100</f>
        <v>8.5000000000000006E-2</v>
      </c>
      <c r="F11" s="1">
        <f>8.1*C11/100</f>
        <v>6.8849999999999998</v>
      </c>
      <c r="G11" s="1">
        <f>46*C11/100</f>
        <v>39.1</v>
      </c>
      <c r="H11" s="1">
        <f>0.01*C11/100</f>
        <v>8.5000000000000006E-3</v>
      </c>
      <c r="I11" s="1">
        <f>0.01*C11/100</f>
        <v>8.5000000000000006E-3</v>
      </c>
      <c r="J11" s="1">
        <f>2*C11/100</f>
        <v>1.7</v>
      </c>
      <c r="K11" s="1">
        <f>7*C11/100</f>
        <v>5.95</v>
      </c>
      <c r="L11" s="1">
        <f>1.4*C11/100</f>
        <v>1.19</v>
      </c>
    </row>
    <row r="12" spans="1:12" x14ac:dyDescent="0.3">
      <c r="A12" s="1" t="s">
        <v>17</v>
      </c>
      <c r="B12" s="1" t="s">
        <v>21</v>
      </c>
      <c r="C12" s="1">
        <v>15</v>
      </c>
      <c r="D12" s="1">
        <f>13.64*C12/100</f>
        <v>2.0460000000000003</v>
      </c>
      <c r="E12" s="1">
        <f>19.12*C12/100</f>
        <v>2.8680000000000003</v>
      </c>
      <c r="F12" s="1">
        <f>43.05*C12/100</f>
        <v>6.4574999999999996</v>
      </c>
      <c r="G12" s="1">
        <f>339.6*C12/100</f>
        <v>50.94</v>
      </c>
      <c r="H12" s="1">
        <f>0.13*C12/100</f>
        <v>1.9500000000000003E-2</v>
      </c>
      <c r="I12" s="1">
        <f t="shared" ref="I12" si="3">0*C12/100</f>
        <v>0</v>
      </c>
      <c r="J12" s="1">
        <f t="shared" ref="J12" si="4">0*C12/100</f>
        <v>0</v>
      </c>
      <c r="K12" s="1">
        <f>20*C12/100</f>
        <v>3</v>
      </c>
      <c r="L12" s="1">
        <f>1.53*C12/100</f>
        <v>0.22949999999999998</v>
      </c>
    </row>
    <row r="13" spans="1:12" x14ac:dyDescent="0.3">
      <c r="A13" s="1"/>
      <c r="B13" s="1"/>
      <c r="C13" s="3">
        <f>SUM(C11:C12)</f>
        <v>100</v>
      </c>
      <c r="D13" s="3">
        <f>SUM(D11:D12)</f>
        <v>2.4710000000000001</v>
      </c>
      <c r="E13" s="3">
        <f t="shared" ref="E13:L13" si="5">SUM(E11:E12)</f>
        <v>2.9530000000000003</v>
      </c>
      <c r="F13" s="3">
        <f t="shared" si="5"/>
        <v>13.342499999999999</v>
      </c>
      <c r="G13" s="3">
        <f t="shared" si="5"/>
        <v>90.039999999999992</v>
      </c>
      <c r="H13" s="3">
        <f t="shared" si="5"/>
        <v>2.8000000000000004E-2</v>
      </c>
      <c r="I13" s="3">
        <f t="shared" si="5"/>
        <v>8.5000000000000006E-3</v>
      </c>
      <c r="J13" s="3">
        <f t="shared" si="5"/>
        <v>1.7</v>
      </c>
      <c r="K13" s="3">
        <f t="shared" si="5"/>
        <v>8.9499999999999993</v>
      </c>
      <c r="L13" s="3">
        <f t="shared" si="5"/>
        <v>1.4195</v>
      </c>
    </row>
    <row r="14" spans="1:12" ht="12.75" customHeight="1" x14ac:dyDescent="0.3">
      <c r="A14" s="4" t="s">
        <v>22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2" x14ac:dyDescent="0.3">
      <c r="A15" s="1">
        <v>36</v>
      </c>
      <c r="B15" s="1" t="s">
        <v>50</v>
      </c>
      <c r="C15" s="1">
        <v>200</v>
      </c>
      <c r="D15" s="1">
        <f>1.25*C15/100</f>
        <v>2.5</v>
      </c>
      <c r="E15" s="1">
        <f>8.43*C15/100</f>
        <v>16.86</v>
      </c>
      <c r="F15" s="1">
        <f>7.26*C15/100</f>
        <v>14.52</v>
      </c>
      <c r="G15" s="1">
        <f>88.99*C15/100</f>
        <v>177.98</v>
      </c>
      <c r="H15" s="1">
        <f>0.04*C15/100</f>
        <v>0.08</v>
      </c>
      <c r="I15" s="1">
        <f>0.04*C15/100</f>
        <v>0.08</v>
      </c>
      <c r="J15" s="1">
        <f>1.48*C15/100</f>
        <v>2.96</v>
      </c>
      <c r="K15" s="1">
        <f>11.79*C15/100</f>
        <v>23.58</v>
      </c>
      <c r="L15" s="1">
        <f>0.29*C15/100</f>
        <v>0.57999999999999996</v>
      </c>
    </row>
    <row r="16" spans="1:12" x14ac:dyDescent="0.3">
      <c r="A16" s="1">
        <v>276</v>
      </c>
      <c r="B16" s="1" t="s">
        <v>23</v>
      </c>
      <c r="C16" s="1">
        <v>115</v>
      </c>
      <c r="D16" s="1">
        <f>6.6*C16/100</f>
        <v>7.59</v>
      </c>
      <c r="E16" s="1">
        <f>2.94*C16/100</f>
        <v>3.3809999999999998</v>
      </c>
      <c r="F16" s="1">
        <f>15.02*C16/100</f>
        <v>17.273</v>
      </c>
      <c r="G16" s="1">
        <f>143.92*C16/100</f>
        <v>165.50799999999998</v>
      </c>
      <c r="H16" s="1">
        <f>0.1*C16/100</f>
        <v>0.115</v>
      </c>
      <c r="I16" s="1">
        <f>0*C16/100</f>
        <v>0</v>
      </c>
      <c r="J16" s="1">
        <f>0*C16/100</f>
        <v>0</v>
      </c>
      <c r="K16" s="1">
        <f>14.12*C16/100</f>
        <v>16.238</v>
      </c>
      <c r="L16" s="1">
        <f>1.79*C16/100</f>
        <v>2.0585</v>
      </c>
    </row>
    <row r="17" spans="1:12" x14ac:dyDescent="0.3">
      <c r="A17" s="1" t="s">
        <v>17</v>
      </c>
      <c r="B17" s="1" t="s">
        <v>24</v>
      </c>
      <c r="C17" s="1">
        <v>45</v>
      </c>
      <c r="D17" s="1">
        <f>6.9*C17/100</f>
        <v>3.105</v>
      </c>
      <c r="E17" s="1">
        <f>1*C17/100</f>
        <v>0.45</v>
      </c>
      <c r="F17" s="1">
        <f>48.1*C17/100</f>
        <v>21.645</v>
      </c>
      <c r="G17" s="1">
        <f>213.6*C17/100</f>
        <v>96.12</v>
      </c>
      <c r="H17" s="1">
        <f>0.2*C17/100</f>
        <v>0.09</v>
      </c>
      <c r="I17" s="1">
        <f>0*C17/100</f>
        <v>0</v>
      </c>
      <c r="J17" s="1">
        <f t="shared" ref="J17:J18" si="6">0*C17/100</f>
        <v>0</v>
      </c>
      <c r="K17" s="1">
        <f>23*C17/100</f>
        <v>10.35</v>
      </c>
      <c r="L17" s="1">
        <f>1.9*C17/100</f>
        <v>0.85499999999999998</v>
      </c>
    </row>
    <row r="18" spans="1:12" x14ac:dyDescent="0.3">
      <c r="A18" s="1" t="s">
        <v>17</v>
      </c>
      <c r="B18" s="1" t="s">
        <v>25</v>
      </c>
      <c r="C18" s="1">
        <v>40</v>
      </c>
      <c r="D18" s="1">
        <f>13*C18/100</f>
        <v>5.2</v>
      </c>
      <c r="E18" s="1">
        <f>1.2*C18/100</f>
        <v>0.48</v>
      </c>
      <c r="F18" s="1">
        <f>53.1*C18/100</f>
        <v>21.24</v>
      </c>
      <c r="G18" s="1">
        <f>302.7*C18/100</f>
        <v>121.08</v>
      </c>
      <c r="H18" s="1">
        <f>0.8*C18/100</f>
        <v>0.32</v>
      </c>
      <c r="I18" s="1">
        <f>0.2*C18/100</f>
        <v>0.08</v>
      </c>
      <c r="J18" s="1">
        <f t="shared" si="6"/>
        <v>0</v>
      </c>
      <c r="K18" s="1">
        <f>115*C18/100</f>
        <v>46</v>
      </c>
      <c r="L18" s="1">
        <f>9.4*C18/100</f>
        <v>3.76</v>
      </c>
    </row>
    <row r="19" spans="1:12" x14ac:dyDescent="0.3">
      <c r="A19" s="1">
        <v>127</v>
      </c>
      <c r="B19" s="1" t="s">
        <v>26</v>
      </c>
      <c r="C19" s="1">
        <v>200</v>
      </c>
      <c r="D19" s="1">
        <f>0.3*C19/100</f>
        <v>0.6</v>
      </c>
      <c r="E19" s="1">
        <f>0.04*C19/100</f>
        <v>0.08</v>
      </c>
      <c r="F19" s="1">
        <f>8.32*C19/100</f>
        <v>16.64</v>
      </c>
      <c r="G19" s="1">
        <f>34.72*C19/100</f>
        <v>69.44</v>
      </c>
      <c r="H19" s="1">
        <f>0.003*C19/100</f>
        <v>6.0000000000000001E-3</v>
      </c>
      <c r="I19" s="1">
        <f>0.004*C19/100</f>
        <v>8.0000000000000002E-3</v>
      </c>
      <c r="J19" s="1">
        <f>20*C19/100</f>
        <v>40</v>
      </c>
      <c r="K19" s="1">
        <f>3.76*C19/100</f>
        <v>7.52</v>
      </c>
      <c r="L19" s="1">
        <f>0.15*C19/100</f>
        <v>0.3</v>
      </c>
    </row>
    <row r="20" spans="1:12" x14ac:dyDescent="0.3">
      <c r="A20" s="1"/>
      <c r="B20" s="1"/>
      <c r="C20" s="3">
        <f>SUM(C15:C19)</f>
        <v>600</v>
      </c>
      <c r="D20" s="3">
        <f>SUM(D15:D19)</f>
        <v>18.995000000000001</v>
      </c>
      <c r="E20" s="3">
        <f t="shared" ref="E20:L20" si="7">SUM(E15:E19)</f>
        <v>21.250999999999998</v>
      </c>
      <c r="F20" s="3">
        <f t="shared" si="7"/>
        <v>91.317999999999998</v>
      </c>
      <c r="G20" s="3">
        <f t="shared" si="7"/>
        <v>630.12799999999993</v>
      </c>
      <c r="H20" s="3">
        <f t="shared" si="7"/>
        <v>0.61099999999999999</v>
      </c>
      <c r="I20" s="3">
        <f t="shared" si="7"/>
        <v>0.16800000000000001</v>
      </c>
      <c r="J20" s="3">
        <f t="shared" si="7"/>
        <v>42.96</v>
      </c>
      <c r="K20" s="3">
        <f t="shared" si="7"/>
        <v>103.688</v>
      </c>
      <c r="L20" s="3">
        <f t="shared" si="7"/>
        <v>7.5534999999999997</v>
      </c>
    </row>
    <row r="21" spans="1:12" ht="9.75" customHeight="1" x14ac:dyDescent="0.3">
      <c r="A21" s="4" t="s">
        <v>27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2" x14ac:dyDescent="0.3">
      <c r="A22" s="1">
        <v>447</v>
      </c>
      <c r="B22" s="1" t="s">
        <v>28</v>
      </c>
      <c r="C22" s="1">
        <v>50</v>
      </c>
      <c r="D22" s="1">
        <f>5.47*C22/100</f>
        <v>2.7349999999999999</v>
      </c>
      <c r="E22" s="1">
        <f>5.88*C22/100</f>
        <v>2.94</v>
      </c>
      <c r="F22" s="1">
        <f>28.025*C22/100</f>
        <v>14.012499999999999</v>
      </c>
      <c r="G22" s="1">
        <f>223*C22/100</f>
        <v>111.5</v>
      </c>
      <c r="H22" s="1">
        <f>0.19*C22/100</f>
        <v>9.5000000000000001E-2</v>
      </c>
      <c r="I22" s="1">
        <f>0.05*C22/100</f>
        <v>2.5000000000000001E-2</v>
      </c>
      <c r="J22" s="1">
        <f>0*C22/100</f>
        <v>0</v>
      </c>
      <c r="K22" s="1">
        <f>19.64*C22/100</f>
        <v>9.82</v>
      </c>
      <c r="L22" s="1">
        <f>1*C22/100</f>
        <v>0.5</v>
      </c>
    </row>
    <row r="23" spans="1:12" x14ac:dyDescent="0.3">
      <c r="A23" s="1">
        <v>138</v>
      </c>
      <c r="B23" s="1" t="s">
        <v>16</v>
      </c>
      <c r="C23" s="1">
        <v>200</v>
      </c>
      <c r="D23" s="1">
        <f>1.32*C23/100</f>
        <v>2.64</v>
      </c>
      <c r="E23" s="1">
        <f>1.62*C23/100</f>
        <v>3.24</v>
      </c>
      <c r="F23" s="1">
        <f>5.95*C23/100</f>
        <v>11.9</v>
      </c>
      <c r="G23" s="1">
        <f>34.39*C23/100</f>
        <v>68.78</v>
      </c>
      <c r="H23" s="1">
        <f>0.01*C23/100</f>
        <v>0.02</v>
      </c>
      <c r="I23" s="1">
        <f>0.07*C23/100</f>
        <v>0.14000000000000001</v>
      </c>
      <c r="J23" s="1">
        <f>0.33*C23/100</f>
        <v>0.66</v>
      </c>
      <c r="K23" s="1">
        <f>64.05*C23/100</f>
        <v>128.1</v>
      </c>
      <c r="L23" s="1">
        <f>0.32*C23/100</f>
        <v>0.64</v>
      </c>
    </row>
    <row r="24" spans="1:12" x14ac:dyDescent="0.3">
      <c r="A24" s="1"/>
      <c r="B24" s="1"/>
      <c r="C24" s="3">
        <f>SUM(C22:C23)</f>
        <v>250</v>
      </c>
      <c r="D24" s="3">
        <f>SUM(D22:D23)</f>
        <v>5.375</v>
      </c>
      <c r="E24" s="3">
        <f t="shared" ref="E24:L24" si="8">SUM(E22:E23)</f>
        <v>6.18</v>
      </c>
      <c r="F24" s="3">
        <f t="shared" si="8"/>
        <v>25.912500000000001</v>
      </c>
      <c r="G24" s="3">
        <f t="shared" si="8"/>
        <v>180.28</v>
      </c>
      <c r="H24" s="3">
        <f t="shared" si="8"/>
        <v>0.115</v>
      </c>
      <c r="I24" s="3">
        <f t="shared" si="8"/>
        <v>0.16500000000000001</v>
      </c>
      <c r="J24" s="3">
        <f t="shared" si="8"/>
        <v>0.66</v>
      </c>
      <c r="K24" s="3">
        <f t="shared" si="8"/>
        <v>137.91999999999999</v>
      </c>
      <c r="L24" s="3">
        <f t="shared" si="8"/>
        <v>1.1400000000000001</v>
      </c>
    </row>
    <row r="25" spans="1:12" ht="10.5" customHeight="1" x14ac:dyDescent="0.3">
      <c r="A25" s="4" t="s">
        <v>29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x14ac:dyDescent="0.3">
      <c r="A26" s="1">
        <v>134</v>
      </c>
      <c r="B26" s="1" t="s">
        <v>20</v>
      </c>
      <c r="C26" s="1">
        <v>130</v>
      </c>
      <c r="D26" s="1">
        <f>0.5*C26/100</f>
        <v>0.65</v>
      </c>
      <c r="E26" s="1">
        <f>0.1*C26/100</f>
        <v>0.13</v>
      </c>
      <c r="F26" s="1">
        <f>9.1*C26/100</f>
        <v>11.83</v>
      </c>
      <c r="G26" s="1">
        <f>46*C26/100</f>
        <v>59.8</v>
      </c>
      <c r="H26" s="1">
        <f>0.01*C26/100</f>
        <v>1.3000000000000001E-2</v>
      </c>
      <c r="I26" s="1">
        <f>0.01*C26/100</f>
        <v>1.3000000000000001E-2</v>
      </c>
      <c r="J26" s="1">
        <f>2*C26/100</f>
        <v>2.6</v>
      </c>
      <c r="K26" s="1">
        <f>7*C26/100</f>
        <v>9.1</v>
      </c>
      <c r="L26" s="1">
        <f>1.4*C26/100</f>
        <v>1.82</v>
      </c>
    </row>
    <row r="27" spans="1:12" x14ac:dyDescent="0.3">
      <c r="A27" s="1" t="s">
        <v>17</v>
      </c>
      <c r="B27" s="1" t="s">
        <v>21</v>
      </c>
      <c r="C27" s="1">
        <v>20</v>
      </c>
      <c r="D27" s="1">
        <f>10.28*C27/100</f>
        <v>2.056</v>
      </c>
      <c r="E27" s="1">
        <f>15.15*C27/100</f>
        <v>3.03</v>
      </c>
      <c r="F27" s="1">
        <f>6.45*C27/100</f>
        <v>1.29</v>
      </c>
      <c r="G27" s="1">
        <f>150*C27/100</f>
        <v>30</v>
      </c>
      <c r="H27" s="1">
        <f>0.13*C27/100</f>
        <v>2.6000000000000002E-2</v>
      </c>
      <c r="I27" s="1">
        <f t="shared" ref="I27" si="9">0*C27/100</f>
        <v>0</v>
      </c>
      <c r="J27" s="1">
        <f t="shared" ref="J27" si="10">0*C27/100</f>
        <v>0</v>
      </c>
      <c r="K27" s="1">
        <f>20*C27/100</f>
        <v>4</v>
      </c>
      <c r="L27" s="1">
        <f>1.53*C27/100</f>
        <v>0.30599999999999999</v>
      </c>
    </row>
    <row r="28" spans="1:12" x14ac:dyDescent="0.3">
      <c r="A28" s="1"/>
      <c r="B28" s="1"/>
      <c r="C28" s="3">
        <f>SUM(C26:C27)</f>
        <v>150</v>
      </c>
      <c r="D28" s="3">
        <f>SUM(D26:D27)</f>
        <v>2.706</v>
      </c>
      <c r="E28" s="3">
        <f t="shared" ref="E28:L28" si="11">SUM(E26:E27)</f>
        <v>3.1599999999999997</v>
      </c>
      <c r="F28" s="3">
        <f t="shared" si="11"/>
        <v>13.120000000000001</v>
      </c>
      <c r="G28" s="3">
        <f t="shared" si="11"/>
        <v>89.8</v>
      </c>
      <c r="H28" s="3">
        <f t="shared" si="11"/>
        <v>3.9000000000000007E-2</v>
      </c>
      <c r="I28" s="3">
        <f t="shared" si="11"/>
        <v>1.3000000000000001E-2</v>
      </c>
      <c r="J28" s="3">
        <f t="shared" si="11"/>
        <v>2.6</v>
      </c>
      <c r="K28" s="3">
        <f t="shared" si="11"/>
        <v>13.1</v>
      </c>
      <c r="L28" s="3">
        <f t="shared" si="11"/>
        <v>2.1259999999999999</v>
      </c>
    </row>
    <row r="29" spans="1:12" x14ac:dyDescent="0.3">
      <c r="A29" s="3"/>
      <c r="B29" s="3" t="s">
        <v>30</v>
      </c>
      <c r="C29" s="3"/>
      <c r="D29" s="3">
        <f>D9+D13+D20+D24+D28</f>
        <v>40.359000000000009</v>
      </c>
      <c r="E29" s="3">
        <f t="shared" ref="E29:L29" si="12">E9+E13+E20+E24+E28</f>
        <v>45.860999999999997</v>
      </c>
      <c r="F29" s="3">
        <f t="shared" si="12"/>
        <v>195.89000000000001</v>
      </c>
      <c r="G29" s="3">
        <f t="shared" si="12"/>
        <v>1350.4979999999998</v>
      </c>
      <c r="H29" s="3">
        <f t="shared" si="12"/>
        <v>0.93500000000000005</v>
      </c>
      <c r="I29" s="3">
        <f t="shared" si="12"/>
        <v>0.51150000000000007</v>
      </c>
      <c r="J29" s="3">
        <f t="shared" si="12"/>
        <v>48.414999999999999</v>
      </c>
      <c r="K29" s="3">
        <f t="shared" si="12"/>
        <v>396.5</v>
      </c>
      <c r="L29" s="3">
        <f t="shared" si="12"/>
        <v>13.962</v>
      </c>
    </row>
    <row r="30" spans="1:12" ht="15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mergeCells count="7">
    <mergeCell ref="A25:L25"/>
    <mergeCell ref="A1:L1"/>
    <mergeCell ref="A3:L3"/>
    <mergeCell ref="A4:L4"/>
    <mergeCell ref="A10:L10"/>
    <mergeCell ref="A14:L14"/>
    <mergeCell ref="A21:L2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O17" sqref="O17"/>
    </sheetView>
  </sheetViews>
  <sheetFormatPr defaultRowHeight="14.4" x14ac:dyDescent="0.3"/>
  <cols>
    <col min="1" max="1" width="5.109375" customWidth="1"/>
    <col min="2" max="2" width="26" customWidth="1"/>
  </cols>
  <sheetData>
    <row r="1" spans="1:12" x14ac:dyDescent="0.3">
      <c r="A1" s="3" t="s">
        <v>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38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305</v>
      </c>
      <c r="B5" s="1" t="s">
        <v>31</v>
      </c>
      <c r="C5" s="1">
        <v>180</v>
      </c>
      <c r="D5" s="1">
        <f>3*C5/100</f>
        <v>5.4</v>
      </c>
      <c r="E5" s="1">
        <f>2.4*C5/100</f>
        <v>4.32</v>
      </c>
      <c r="F5" s="1">
        <f>7.18*C5/100</f>
        <v>12.923999999999999</v>
      </c>
      <c r="G5" s="1">
        <f>4.78*C5/100</f>
        <v>8.604000000000001</v>
      </c>
      <c r="H5" s="1">
        <f>26*C5/100</f>
        <v>46.8</v>
      </c>
      <c r="I5" s="1">
        <f>20*C5/100</f>
        <v>36</v>
      </c>
      <c r="J5" s="1">
        <f>0*C5/100</f>
        <v>0</v>
      </c>
      <c r="K5" s="1">
        <f>1*C5/100</f>
        <v>1.8</v>
      </c>
      <c r="L5" s="1">
        <f>1*C5/100</f>
        <v>1.8</v>
      </c>
    </row>
    <row r="6" spans="1:12" x14ac:dyDescent="0.3">
      <c r="A6" s="1">
        <v>397</v>
      </c>
      <c r="B6" s="1" t="s">
        <v>32</v>
      </c>
      <c r="C6" s="1">
        <v>140</v>
      </c>
      <c r="D6" s="1">
        <f>2.54*C6/100</f>
        <v>3.556</v>
      </c>
      <c r="E6" s="1">
        <f>1.68*C6/100</f>
        <v>2.3519999999999999</v>
      </c>
      <c r="F6" s="1">
        <f>13.64*C6/100</f>
        <v>19.096</v>
      </c>
      <c r="G6" s="1">
        <f>129.01*C6/100</f>
        <v>180.61399999999998</v>
      </c>
      <c r="H6" s="1">
        <f>0.03*C6/100</f>
        <v>4.2000000000000003E-2</v>
      </c>
      <c r="I6" s="1">
        <f>0.09*C6/100</f>
        <v>0.126</v>
      </c>
      <c r="J6" s="1">
        <f>0.8*C6/100</f>
        <v>1.1200000000000001</v>
      </c>
      <c r="K6" s="1">
        <f>76.47*C6/100</f>
        <v>107.05799999999999</v>
      </c>
      <c r="L6" s="1">
        <f>0.27*C6/100</f>
        <v>0.37800000000000006</v>
      </c>
    </row>
    <row r="7" spans="1:12" x14ac:dyDescent="0.3">
      <c r="A7" s="1">
        <v>1</v>
      </c>
      <c r="B7" s="1" t="s">
        <v>15</v>
      </c>
      <c r="C7" s="1">
        <v>30</v>
      </c>
      <c r="D7" s="1">
        <f>6.22*C7/100</f>
        <v>1.8659999999999999</v>
      </c>
      <c r="E7" s="1">
        <f>18.08*C7/100</f>
        <v>5.4239999999999995</v>
      </c>
      <c r="F7" s="1">
        <f>67.35*C7/100</f>
        <v>20.204999999999998</v>
      </c>
      <c r="G7" s="1">
        <f>569.69*C7/100</f>
        <v>170.90700000000001</v>
      </c>
      <c r="H7" s="1">
        <f>0.12*C7/100</f>
        <v>3.5999999999999997E-2</v>
      </c>
      <c r="I7" s="1">
        <f>0.08*C7/100</f>
        <v>2.4E-2</v>
      </c>
      <c r="J7" s="1">
        <f t="shared" ref="J7" si="0">0*C7/100</f>
        <v>0</v>
      </c>
      <c r="K7" s="1">
        <f>23.25*C7/100</f>
        <v>6.9749999999999996</v>
      </c>
      <c r="L7" s="1">
        <f>1.55*C7/100</f>
        <v>0.46500000000000002</v>
      </c>
    </row>
    <row r="8" spans="1:12" x14ac:dyDescent="0.3">
      <c r="A8" s="1"/>
      <c r="B8" s="1"/>
      <c r="C8" s="3">
        <f t="shared" ref="C8:L8" si="1">SUM(C5:C7)</f>
        <v>350</v>
      </c>
      <c r="D8" s="3">
        <f t="shared" si="1"/>
        <v>10.821999999999999</v>
      </c>
      <c r="E8" s="3">
        <f t="shared" si="1"/>
        <v>12.096</v>
      </c>
      <c r="F8" s="3">
        <f t="shared" si="1"/>
        <v>52.224999999999994</v>
      </c>
      <c r="G8" s="3">
        <f t="shared" si="1"/>
        <v>360.125</v>
      </c>
      <c r="H8" s="3">
        <f t="shared" si="1"/>
        <v>46.878</v>
      </c>
      <c r="I8" s="3">
        <f t="shared" si="1"/>
        <v>36.15</v>
      </c>
      <c r="J8" s="3">
        <f t="shared" si="1"/>
        <v>1.1200000000000001</v>
      </c>
      <c r="K8" s="3">
        <f t="shared" si="1"/>
        <v>115.83299999999998</v>
      </c>
      <c r="L8" s="3">
        <f t="shared" si="1"/>
        <v>2.6429999999999998</v>
      </c>
    </row>
    <row r="9" spans="1:12" x14ac:dyDescent="0.3">
      <c r="A9" s="1" t="s">
        <v>19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>
        <v>138</v>
      </c>
      <c r="B10" s="1" t="s">
        <v>16</v>
      </c>
      <c r="C10" s="1">
        <v>85</v>
      </c>
      <c r="D10" s="1">
        <f>1.16*C10/100</f>
        <v>0.98599999999999999</v>
      </c>
      <c r="E10" s="1">
        <f>1.62*C10/100</f>
        <v>1.3770000000000002</v>
      </c>
      <c r="F10" s="1">
        <f>13.95*C10/100</f>
        <v>11.8575</v>
      </c>
      <c r="G10" s="1">
        <f>54.34*C10/100</f>
        <v>46.189000000000007</v>
      </c>
      <c r="H10" s="1">
        <f>0.01*C10/100</f>
        <v>8.5000000000000006E-3</v>
      </c>
      <c r="I10" s="1">
        <f>0.07*C10/100</f>
        <v>5.9500000000000004E-2</v>
      </c>
      <c r="J10" s="1">
        <f>0.33*C10/100</f>
        <v>0.28050000000000003</v>
      </c>
      <c r="K10" s="1">
        <f>64.05*C10/100</f>
        <v>54.442500000000003</v>
      </c>
      <c r="L10" s="1">
        <f>0.32*C10/100</f>
        <v>0.27200000000000002</v>
      </c>
    </row>
    <row r="11" spans="1:12" x14ac:dyDescent="0.3">
      <c r="A11" s="1" t="s">
        <v>17</v>
      </c>
      <c r="B11" s="1" t="s">
        <v>18</v>
      </c>
      <c r="C11" s="1">
        <v>15</v>
      </c>
      <c r="D11" s="1">
        <f>9.92*C11/100</f>
        <v>1.4880000000000002</v>
      </c>
      <c r="E11" s="1">
        <f>13.11*C11/100</f>
        <v>1.9664999999999997</v>
      </c>
      <c r="F11" s="1">
        <f>7.73*C11/100</f>
        <v>1.1595</v>
      </c>
      <c r="G11" s="1">
        <f>292.96*C11/100</f>
        <v>43.943999999999996</v>
      </c>
      <c r="H11" s="1">
        <f>0.33*C11/100</f>
        <v>4.9500000000000002E-2</v>
      </c>
      <c r="I11" s="1">
        <f t="shared" ref="I11" si="2">0*C11/100</f>
        <v>0</v>
      </c>
      <c r="J11" s="1">
        <f t="shared" ref="J11" si="3">0*C11/100</f>
        <v>0</v>
      </c>
      <c r="K11" s="1">
        <f>186.67*C11/100</f>
        <v>28.000499999999999</v>
      </c>
      <c r="L11" s="1">
        <f>1.83*C11/100</f>
        <v>0.27450000000000002</v>
      </c>
    </row>
    <row r="12" spans="1:12" x14ac:dyDescent="0.3">
      <c r="A12" s="1"/>
      <c r="B12" s="1"/>
      <c r="C12" s="3">
        <f>SUM(C10:C11)</f>
        <v>100</v>
      </c>
      <c r="D12" s="3">
        <f>SUM(D10:D11)</f>
        <v>2.4740000000000002</v>
      </c>
      <c r="E12" s="3">
        <f t="shared" ref="E12:L12" si="4">SUM(E10:E11)</f>
        <v>3.3434999999999997</v>
      </c>
      <c r="F12" s="3">
        <f t="shared" si="4"/>
        <v>13.016999999999999</v>
      </c>
      <c r="G12" s="3">
        <f t="shared" si="4"/>
        <v>90.13300000000001</v>
      </c>
      <c r="H12" s="3">
        <f t="shared" si="4"/>
        <v>5.8000000000000003E-2</v>
      </c>
      <c r="I12" s="3">
        <f t="shared" si="4"/>
        <v>5.9500000000000004E-2</v>
      </c>
      <c r="J12" s="3">
        <f t="shared" si="4"/>
        <v>0.28050000000000003</v>
      </c>
      <c r="K12" s="3">
        <f t="shared" si="4"/>
        <v>82.442999999999998</v>
      </c>
      <c r="L12" s="3">
        <f t="shared" si="4"/>
        <v>0.54649999999999999</v>
      </c>
    </row>
    <row r="13" spans="1:12" x14ac:dyDescent="0.3">
      <c r="A13" s="1" t="s">
        <v>22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>
        <v>44</v>
      </c>
      <c r="B14" s="1" t="s">
        <v>33</v>
      </c>
      <c r="C14" s="1">
        <v>180</v>
      </c>
      <c r="D14" s="1">
        <f>4.07*C14/100</f>
        <v>7.3260000000000005</v>
      </c>
      <c r="E14" s="1">
        <f>1.04*C14/100</f>
        <v>1.8720000000000001</v>
      </c>
      <c r="F14" s="1">
        <f>6.66*C14/100</f>
        <v>11.988</v>
      </c>
      <c r="G14" s="1">
        <f>60.34*C14/100</f>
        <v>108.61200000000001</v>
      </c>
      <c r="H14" s="1">
        <f>0.04*C14/100</f>
        <v>7.2000000000000008E-2</v>
      </c>
      <c r="I14" s="1">
        <f>0.04*C14/100</f>
        <v>7.2000000000000008E-2</v>
      </c>
      <c r="J14" s="1">
        <f>3.21*C14/100</f>
        <v>5.7779999999999996</v>
      </c>
      <c r="K14" s="1">
        <f>43.17*C14/100</f>
        <v>77.706000000000003</v>
      </c>
      <c r="L14" s="1">
        <f>0.52*C14/100</f>
        <v>0.93600000000000005</v>
      </c>
    </row>
    <row r="15" spans="1:12" x14ac:dyDescent="0.3">
      <c r="A15" s="1">
        <v>286</v>
      </c>
      <c r="B15" s="1" t="s">
        <v>34</v>
      </c>
      <c r="C15" s="1">
        <v>70</v>
      </c>
      <c r="D15" s="1">
        <f>7.39*C15/100</f>
        <v>5.1729999999999992</v>
      </c>
      <c r="E15" s="1">
        <f>12*C15/100</f>
        <v>8.4</v>
      </c>
      <c r="F15" s="1">
        <f>31.96*C15/100</f>
        <v>22.372000000000003</v>
      </c>
      <c r="G15" s="1">
        <f>294.4*C15/100</f>
        <v>206.08</v>
      </c>
      <c r="H15" s="1">
        <f>0.05*C15/100</f>
        <v>3.5000000000000003E-2</v>
      </c>
      <c r="I15" s="1">
        <f>0.08*C15/100</f>
        <v>5.6000000000000008E-2</v>
      </c>
      <c r="J15" s="1">
        <f>0.71*C15/100</f>
        <v>0.49699999999999994</v>
      </c>
      <c r="K15" s="1">
        <f>36.58*C15/100</f>
        <v>25.605999999999998</v>
      </c>
      <c r="L15" s="1">
        <f>0.8*C15/100</f>
        <v>0.56000000000000005</v>
      </c>
    </row>
    <row r="16" spans="1:12" x14ac:dyDescent="0.3">
      <c r="A16" s="1">
        <v>312</v>
      </c>
      <c r="B16" s="1" t="s">
        <v>35</v>
      </c>
      <c r="C16" s="1">
        <v>80</v>
      </c>
      <c r="D16" s="1">
        <f>2.34*C16/100</f>
        <v>1.8719999999999999</v>
      </c>
      <c r="E16" s="1">
        <f>13.11*C16/100</f>
        <v>10.488</v>
      </c>
      <c r="F16" s="1">
        <f>21.79*C16/100</f>
        <v>17.431999999999999</v>
      </c>
      <c r="G16" s="1">
        <f>140.12*C16/100</f>
        <v>112.096</v>
      </c>
      <c r="H16" s="1">
        <f>0.03*C16/100</f>
        <v>2.4E-2</v>
      </c>
      <c r="I16" s="1">
        <f>0.17*C16/100</f>
        <v>0.13600000000000001</v>
      </c>
      <c r="J16" s="1">
        <f>1.01*C16/100</f>
        <v>0.80799999999999994</v>
      </c>
      <c r="K16" s="1">
        <f>113.59*C16/100</f>
        <v>90.872000000000014</v>
      </c>
      <c r="L16" s="1">
        <f>0.25*C16/100</f>
        <v>0.2</v>
      </c>
    </row>
    <row r="17" spans="1:12" x14ac:dyDescent="0.3">
      <c r="A17" s="1" t="s">
        <v>17</v>
      </c>
      <c r="B17" s="1" t="s">
        <v>24</v>
      </c>
      <c r="C17" s="1">
        <v>40</v>
      </c>
      <c r="D17" s="1">
        <f>7.9*C17/100</f>
        <v>3.16</v>
      </c>
      <c r="E17" s="1">
        <f>1.15*C17/100</f>
        <v>0.46</v>
      </c>
      <c r="F17" s="1">
        <f>48.03*C17/100</f>
        <v>19.212</v>
      </c>
      <c r="G17" s="1">
        <f>293.9*C17/100</f>
        <v>117.56</v>
      </c>
      <c r="H17" s="1">
        <f>0.2*C17/100</f>
        <v>0.08</v>
      </c>
      <c r="I17" s="1">
        <f>0*C17/100</f>
        <v>0</v>
      </c>
      <c r="J17" s="1">
        <f t="shared" ref="J17" si="5">0*C17/100</f>
        <v>0</v>
      </c>
      <c r="K17" s="1">
        <f>23*C17/100</f>
        <v>9.1999999999999993</v>
      </c>
      <c r="L17" s="1">
        <f>1.9*C17/100</f>
        <v>0.76</v>
      </c>
    </row>
    <row r="18" spans="1:12" x14ac:dyDescent="0.3">
      <c r="A18" s="1">
        <v>233</v>
      </c>
      <c r="B18" s="1" t="s">
        <v>36</v>
      </c>
      <c r="C18" s="1">
        <v>200</v>
      </c>
      <c r="D18" s="1">
        <f>0*C18/100</f>
        <v>0</v>
      </c>
      <c r="E18" s="1">
        <f>0*C18/100</f>
        <v>0</v>
      </c>
      <c r="F18" s="1">
        <f>9.98*C18/100</f>
        <v>19.96</v>
      </c>
      <c r="G18" s="1">
        <f>40*C18/100</f>
        <v>80</v>
      </c>
      <c r="H18" s="1">
        <f>0.3*C18/100</f>
        <v>0.6</v>
      </c>
      <c r="I18" s="1">
        <f>0.3*C18/100</f>
        <v>0.6</v>
      </c>
      <c r="J18" s="1">
        <f>15*C18/100</f>
        <v>30</v>
      </c>
      <c r="K18" s="1">
        <f>4.5*C18/100</f>
        <v>9</v>
      </c>
      <c r="L18" s="1">
        <f>0*C18/100</f>
        <v>0</v>
      </c>
    </row>
    <row r="19" spans="1:12" x14ac:dyDescent="0.3">
      <c r="A19" s="1" t="s">
        <v>17</v>
      </c>
      <c r="B19" s="1" t="s">
        <v>37</v>
      </c>
      <c r="C19" s="1">
        <v>30</v>
      </c>
      <c r="D19" s="1">
        <f>3.2*C19/100</f>
        <v>0.96</v>
      </c>
      <c r="E19" s="1">
        <f>0*C19/100</f>
        <v>0</v>
      </c>
      <c r="F19" s="1">
        <f>1.3*C19/100</f>
        <v>0.39</v>
      </c>
      <c r="G19" s="1">
        <f>19*C19/100</f>
        <v>5.7</v>
      </c>
      <c r="H19" s="1">
        <f>0*C19/100</f>
        <v>0</v>
      </c>
      <c r="I19" s="1">
        <f>0*C19/100</f>
        <v>0</v>
      </c>
      <c r="J19" s="1">
        <f>0*C19/100</f>
        <v>0</v>
      </c>
      <c r="K19" s="1">
        <f>0*C19/100</f>
        <v>0</v>
      </c>
      <c r="L19" s="1">
        <f>1.2*C19/100</f>
        <v>0.36</v>
      </c>
    </row>
    <row r="20" spans="1:12" x14ac:dyDescent="0.3">
      <c r="A20" s="1"/>
      <c r="B20" s="1"/>
      <c r="C20" s="3">
        <f>SUM(C14:C19)</f>
        <v>600</v>
      </c>
      <c r="D20" s="3">
        <f>SUM(D14:D19)</f>
        <v>18.491</v>
      </c>
      <c r="E20" s="3">
        <f t="shared" ref="E20:L20" si="6">SUM(E14:E19)</f>
        <v>21.22</v>
      </c>
      <c r="F20" s="3">
        <f t="shared" si="6"/>
        <v>91.353999999999999</v>
      </c>
      <c r="G20" s="3">
        <f t="shared" si="6"/>
        <v>630.048</v>
      </c>
      <c r="H20" s="3">
        <f t="shared" si="6"/>
        <v>0.81099999999999994</v>
      </c>
      <c r="I20" s="3">
        <f t="shared" si="6"/>
        <v>0.86399999999999999</v>
      </c>
      <c r="J20" s="3">
        <f t="shared" si="6"/>
        <v>37.082999999999998</v>
      </c>
      <c r="K20" s="3">
        <f t="shared" si="6"/>
        <v>212.38400000000001</v>
      </c>
      <c r="L20" s="3">
        <f t="shared" si="6"/>
        <v>2.8159999999999998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491</v>
      </c>
      <c r="B22" s="1" t="s">
        <v>78</v>
      </c>
      <c r="C22" s="1">
        <v>70</v>
      </c>
      <c r="D22" s="1">
        <f>6.42*C22/100</f>
        <v>4.4939999999999998</v>
      </c>
      <c r="E22" s="1">
        <f>8.88*C22/100</f>
        <v>6.2160000000000002</v>
      </c>
      <c r="F22" s="1">
        <f>14.02*C22/100</f>
        <v>9.8140000000000001</v>
      </c>
      <c r="G22" s="1">
        <f>128*C22/100</f>
        <v>89.6</v>
      </c>
      <c r="H22" s="1">
        <f>0.08*C22/100</f>
        <v>5.6000000000000008E-2</v>
      </c>
      <c r="I22" s="1">
        <f>0.06*C22/100</f>
        <v>4.2000000000000003E-2</v>
      </c>
      <c r="J22" s="1">
        <f>0.06*C22/100</f>
        <v>4.2000000000000003E-2</v>
      </c>
      <c r="K22" s="1">
        <f>18.4*C22/100</f>
        <v>12.88</v>
      </c>
      <c r="L22" s="1">
        <f>1.22*C22/100</f>
        <v>0.85399999999999987</v>
      </c>
    </row>
    <row r="23" spans="1:12" x14ac:dyDescent="0.3">
      <c r="A23" s="1">
        <v>126</v>
      </c>
      <c r="B23" s="1" t="s">
        <v>46</v>
      </c>
      <c r="C23" s="1">
        <v>180</v>
      </c>
      <c r="D23" s="1">
        <f>0.52*C23/100</f>
        <v>0.93600000000000005</v>
      </c>
      <c r="E23" s="1">
        <f>0*C23/100</f>
        <v>0</v>
      </c>
      <c r="F23" s="1">
        <f>9.08*C23/100</f>
        <v>16.344000000000001</v>
      </c>
      <c r="G23" s="1">
        <f>50.32*C23/100</f>
        <v>90.576000000000008</v>
      </c>
      <c r="H23" s="1">
        <f>0.01*C23/100</f>
        <v>1.8000000000000002E-2</v>
      </c>
      <c r="I23" s="1">
        <f>0.02*C23/100</f>
        <v>3.6000000000000004E-2</v>
      </c>
      <c r="J23" s="1">
        <f>0.4*C23/100</f>
        <v>0.72</v>
      </c>
      <c r="K23" s="1">
        <f>20.57*C23/100</f>
        <v>37.025999999999996</v>
      </c>
      <c r="L23" s="1">
        <f>0.34*C23/100</f>
        <v>0.61199999999999999</v>
      </c>
    </row>
    <row r="24" spans="1:12" x14ac:dyDescent="0.3">
      <c r="A24" s="1"/>
      <c r="B24" s="1"/>
      <c r="C24" s="3">
        <f>SUM(C22:C23)</f>
        <v>250</v>
      </c>
      <c r="D24" s="3">
        <f>SUM(D22:D23)</f>
        <v>5.43</v>
      </c>
      <c r="E24" s="3">
        <f t="shared" ref="E24:L24" si="7">SUM(E22:E23)</f>
        <v>6.2160000000000002</v>
      </c>
      <c r="F24" s="3">
        <f t="shared" si="7"/>
        <v>26.158000000000001</v>
      </c>
      <c r="G24" s="3">
        <f t="shared" si="7"/>
        <v>180.17599999999999</v>
      </c>
      <c r="H24" s="3">
        <f t="shared" si="7"/>
        <v>7.400000000000001E-2</v>
      </c>
      <c r="I24" s="3">
        <f t="shared" si="7"/>
        <v>7.8000000000000014E-2</v>
      </c>
      <c r="J24" s="3">
        <f t="shared" si="7"/>
        <v>0.76200000000000001</v>
      </c>
      <c r="K24" s="3">
        <f t="shared" si="7"/>
        <v>49.905999999999999</v>
      </c>
      <c r="L24" s="3">
        <f t="shared" si="7"/>
        <v>1.4659999999999997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 t="s">
        <v>17</v>
      </c>
      <c r="B26" s="1" t="s">
        <v>21</v>
      </c>
      <c r="C26" s="1">
        <v>50</v>
      </c>
      <c r="D26" s="1">
        <f>4.998*C26/100</f>
        <v>2.4990000000000001</v>
      </c>
      <c r="E26" s="1">
        <f>5.58*C26/100</f>
        <v>2.79</v>
      </c>
      <c r="F26" s="1">
        <f>7.26*C26/100</f>
        <v>3.63</v>
      </c>
      <c r="G26" s="1">
        <f>89*C26/100</f>
        <v>44.5</v>
      </c>
      <c r="H26" s="1">
        <f>0.13*C26/100</f>
        <v>6.5000000000000002E-2</v>
      </c>
      <c r="I26" s="1">
        <f t="shared" ref="I26" si="8">0*C26/100</f>
        <v>0</v>
      </c>
      <c r="J26" s="1">
        <f t="shared" ref="J26" si="9">0*C26/100</f>
        <v>0</v>
      </c>
      <c r="K26" s="1">
        <f>20*C26/100</f>
        <v>10</v>
      </c>
      <c r="L26" s="1">
        <f>1.53*C26/100</f>
        <v>0.76500000000000001</v>
      </c>
    </row>
    <row r="27" spans="1:12" x14ac:dyDescent="0.3">
      <c r="A27" s="1">
        <v>134</v>
      </c>
      <c r="B27" s="1" t="s">
        <v>20</v>
      </c>
      <c r="C27" s="1">
        <v>100</v>
      </c>
      <c r="D27" s="1">
        <f>0.5*C27/100</f>
        <v>0.5</v>
      </c>
      <c r="E27" s="1">
        <f>0.36*C27/100</f>
        <v>0.36</v>
      </c>
      <c r="F27" s="1">
        <f>9.41*C27/100</f>
        <v>9.41</v>
      </c>
      <c r="G27" s="1">
        <f>46*C27/100</f>
        <v>46</v>
      </c>
      <c r="H27" s="1">
        <f>0.01*C27/100</f>
        <v>0.01</v>
      </c>
      <c r="I27" s="1">
        <f>0.01*C27/100</f>
        <v>0.01</v>
      </c>
      <c r="J27" s="1">
        <f>2*C27/100</f>
        <v>2</v>
      </c>
      <c r="K27" s="1">
        <f>7*C27/100</f>
        <v>7</v>
      </c>
      <c r="L27" s="1">
        <f>1.4*C27/100</f>
        <v>1.4</v>
      </c>
    </row>
    <row r="28" spans="1:12" x14ac:dyDescent="0.3">
      <c r="A28" s="1"/>
      <c r="B28" s="1"/>
      <c r="C28" s="3">
        <f>SUM(C26:C27)</f>
        <v>150</v>
      </c>
      <c r="D28" s="3">
        <f t="shared" ref="D28:L28" si="10">SUM(D26:D27)</f>
        <v>2.9990000000000001</v>
      </c>
      <c r="E28" s="3">
        <f t="shared" si="10"/>
        <v>3.15</v>
      </c>
      <c r="F28" s="3">
        <f t="shared" si="10"/>
        <v>13.04</v>
      </c>
      <c r="G28" s="3">
        <f t="shared" si="10"/>
        <v>90.5</v>
      </c>
      <c r="H28" s="3">
        <f t="shared" si="10"/>
        <v>7.4999999999999997E-2</v>
      </c>
      <c r="I28" s="3">
        <f t="shared" si="10"/>
        <v>0.01</v>
      </c>
      <c r="J28" s="3">
        <f t="shared" si="10"/>
        <v>2</v>
      </c>
      <c r="K28" s="3">
        <f t="shared" si="10"/>
        <v>17</v>
      </c>
      <c r="L28" s="3">
        <f t="shared" si="10"/>
        <v>2.165</v>
      </c>
    </row>
    <row r="29" spans="1:12" x14ac:dyDescent="0.3">
      <c r="A29" s="3"/>
      <c r="B29" s="3" t="s">
        <v>30</v>
      </c>
      <c r="C29" s="3"/>
      <c r="D29" s="3">
        <f>D8+D12+D20+D24+D28</f>
        <v>40.216000000000001</v>
      </c>
      <c r="E29" s="3">
        <f t="shared" ref="E29:L29" si="11">E8+E12+E20+E24+E28</f>
        <v>46.025499999999994</v>
      </c>
      <c r="F29" s="3">
        <f t="shared" si="11"/>
        <v>195.79400000000001</v>
      </c>
      <c r="G29" s="3">
        <f t="shared" si="11"/>
        <v>1350.982</v>
      </c>
      <c r="H29" s="3">
        <f t="shared" si="11"/>
        <v>47.896000000000001</v>
      </c>
      <c r="I29" s="3">
        <f t="shared" si="11"/>
        <v>37.161499999999997</v>
      </c>
      <c r="J29" s="3">
        <f t="shared" si="11"/>
        <v>41.2455</v>
      </c>
      <c r="K29" s="3">
        <f t="shared" si="11"/>
        <v>477.56599999999997</v>
      </c>
      <c r="L29" s="3">
        <f t="shared" si="11"/>
        <v>9.6364999999999981</v>
      </c>
    </row>
    <row r="30" spans="1:12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0" workbookViewId="0">
      <selection activeCell="O20" sqref="O20"/>
    </sheetView>
  </sheetViews>
  <sheetFormatPr defaultRowHeight="14.4" x14ac:dyDescent="0.3"/>
  <cols>
    <col min="1" max="1" width="5.33203125" customWidth="1"/>
    <col min="2" max="2" width="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39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93</v>
      </c>
      <c r="B5" s="1" t="s">
        <v>49</v>
      </c>
      <c r="C5" s="1">
        <v>180</v>
      </c>
      <c r="D5" s="1">
        <f>2.82*C5/100</f>
        <v>5.0759999999999996</v>
      </c>
      <c r="E5" s="1">
        <f>2.8*C5/100</f>
        <v>5.0399999999999991</v>
      </c>
      <c r="F5" s="1">
        <f>13.26*C5/100</f>
        <v>23.868000000000002</v>
      </c>
      <c r="G5" s="1">
        <f>99.78*C5/100</f>
        <v>179.60400000000001</v>
      </c>
      <c r="H5" s="1">
        <f>0.04*C5/100</f>
        <v>7.2000000000000008E-2</v>
      </c>
      <c r="I5" s="1">
        <f>0.011*C5/100</f>
        <v>1.9799999999999998E-2</v>
      </c>
      <c r="J5" s="1">
        <f>0.46*C5/100</f>
        <v>0.82799999999999996</v>
      </c>
      <c r="K5" s="1">
        <f>82.37*C5/100</f>
        <v>148.26599999999999</v>
      </c>
      <c r="L5" s="1">
        <f>0.27*C5/100</f>
        <v>0.48599999999999999</v>
      </c>
    </row>
    <row r="6" spans="1:12" x14ac:dyDescent="0.3">
      <c r="A6" s="1">
        <v>6</v>
      </c>
      <c r="B6" s="1" t="s">
        <v>41</v>
      </c>
      <c r="C6" s="1">
        <v>40</v>
      </c>
      <c r="D6" s="1">
        <f>8.08*C6/100</f>
        <v>3.2319999999999998</v>
      </c>
      <c r="E6" s="1">
        <f>10.64*C6/100</f>
        <v>4.2560000000000002</v>
      </c>
      <c r="F6" s="1">
        <f>30.91*C6/100</f>
        <v>12.364000000000001</v>
      </c>
      <c r="G6" s="1">
        <f>197.98*C6/100</f>
        <v>79.191999999999993</v>
      </c>
      <c r="H6" s="1">
        <f>0.17*C6/100</f>
        <v>6.8000000000000005E-2</v>
      </c>
      <c r="I6" s="1">
        <f>0.44*C6/100</f>
        <v>0.17600000000000002</v>
      </c>
      <c r="J6" s="1">
        <f>0.33*C6/100</f>
        <v>0.13200000000000001</v>
      </c>
      <c r="K6" s="1">
        <f>215.99*C6/100</f>
        <v>86.396000000000001</v>
      </c>
      <c r="L6" s="1">
        <f>1.74*C6/100</f>
        <v>0.69599999999999995</v>
      </c>
    </row>
    <row r="7" spans="1:12" x14ac:dyDescent="0.3">
      <c r="A7" s="1">
        <v>138</v>
      </c>
      <c r="B7" s="1" t="s">
        <v>16</v>
      </c>
      <c r="C7" s="1">
        <v>180</v>
      </c>
      <c r="D7" s="1">
        <f>1.36*C7/100</f>
        <v>2.448</v>
      </c>
      <c r="E7" s="1">
        <f>1.52*C7/100</f>
        <v>2.7360000000000002</v>
      </c>
      <c r="F7" s="1">
        <f>8.85*C7/100</f>
        <v>15.93</v>
      </c>
      <c r="G7" s="1">
        <f>56.34*C7/100</f>
        <v>101.41200000000001</v>
      </c>
      <c r="H7" s="1">
        <f>0.01*C7/100</f>
        <v>1.8000000000000002E-2</v>
      </c>
      <c r="I7" s="1">
        <f>0.07*C7/100</f>
        <v>0.126</v>
      </c>
      <c r="J7" s="1">
        <f>0.33*C7/100</f>
        <v>0.59400000000000008</v>
      </c>
      <c r="K7" s="1">
        <f>64.05*C7/100</f>
        <v>115.29</v>
      </c>
      <c r="L7" s="1">
        <f>0.32*C7/100</f>
        <v>0.57600000000000007</v>
      </c>
    </row>
    <row r="8" spans="1:12" ht="15" hidden="1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>SUM(C5:C8)</f>
        <v>400</v>
      </c>
      <c r="D9" s="3">
        <f t="shared" ref="D9:L9" si="0">SUM(D5:D8)</f>
        <v>10.756</v>
      </c>
      <c r="E9" s="3">
        <f t="shared" si="0"/>
        <v>12.032</v>
      </c>
      <c r="F9" s="3">
        <f t="shared" si="0"/>
        <v>52.161999999999999</v>
      </c>
      <c r="G9" s="3">
        <f t="shared" si="0"/>
        <v>360.20799999999997</v>
      </c>
      <c r="H9" s="3">
        <f t="shared" si="0"/>
        <v>0.15800000000000003</v>
      </c>
      <c r="I9" s="3">
        <f t="shared" si="0"/>
        <v>0.32180000000000003</v>
      </c>
      <c r="J9" s="3">
        <f t="shared" si="0"/>
        <v>1.554</v>
      </c>
      <c r="K9" s="3">
        <f t="shared" si="0"/>
        <v>349.952</v>
      </c>
      <c r="L9" s="3">
        <f t="shared" si="0"/>
        <v>1.758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120</v>
      </c>
      <c r="D11" s="1">
        <f>0.5*C11/100</f>
        <v>0.6</v>
      </c>
      <c r="E11" s="1">
        <f>0.1*C11/100</f>
        <v>0.12</v>
      </c>
      <c r="F11" s="1">
        <f>5.96*C11/100</f>
        <v>7.1520000000000001</v>
      </c>
      <c r="G11" s="1">
        <f>33*C11/100</f>
        <v>39.6</v>
      </c>
      <c r="H11" s="1">
        <f>0.01*C11/100</f>
        <v>1.2E-2</v>
      </c>
      <c r="I11" s="1">
        <f>0.01*C11/100</f>
        <v>1.2E-2</v>
      </c>
      <c r="J11" s="1">
        <f>2*C11/100</f>
        <v>2.4</v>
      </c>
      <c r="K11" s="1">
        <f>7*C11/100</f>
        <v>8.4</v>
      </c>
      <c r="L11" s="1">
        <f>1.4*C11/100</f>
        <v>1.68</v>
      </c>
    </row>
    <row r="12" spans="1:12" x14ac:dyDescent="0.3">
      <c r="A12" s="1" t="s">
        <v>17</v>
      </c>
      <c r="B12" s="1" t="s">
        <v>18</v>
      </c>
      <c r="C12" s="1">
        <v>21</v>
      </c>
      <c r="D12" s="1">
        <f>9.92*C12/100</f>
        <v>2.0831999999999997</v>
      </c>
      <c r="E12" s="1">
        <f>14.57*C12/100</f>
        <v>3.0597000000000003</v>
      </c>
      <c r="F12" s="1">
        <f>26.92*C12/100</f>
        <v>5.6532000000000009</v>
      </c>
      <c r="G12" s="1">
        <f>239*C12/100</f>
        <v>50.19</v>
      </c>
      <c r="H12" s="1">
        <f>0.33*C12/100</f>
        <v>6.93E-2</v>
      </c>
      <c r="I12" s="1">
        <f>0*C12/100</f>
        <v>0</v>
      </c>
      <c r="J12" s="1">
        <f>0*C12/100</f>
        <v>0</v>
      </c>
      <c r="K12" s="1">
        <f>186.67*C12/100</f>
        <v>39.200699999999998</v>
      </c>
      <c r="L12" s="1">
        <f>1.83*C12/100</f>
        <v>0.38429999999999997</v>
      </c>
    </row>
    <row r="13" spans="1:12" x14ac:dyDescent="0.3">
      <c r="A13" s="1"/>
      <c r="B13" s="1"/>
      <c r="C13" s="3">
        <f>SUM(C11:C12)</f>
        <v>141</v>
      </c>
      <c r="D13" s="3">
        <f t="shared" ref="D13:L13" si="1">SUM(D11:D12)</f>
        <v>2.6831999999999998</v>
      </c>
      <c r="E13" s="3">
        <f t="shared" si="1"/>
        <v>3.1797000000000004</v>
      </c>
      <c r="F13" s="3">
        <f t="shared" si="1"/>
        <v>12.805200000000001</v>
      </c>
      <c r="G13" s="3">
        <f t="shared" si="1"/>
        <v>89.789999999999992</v>
      </c>
      <c r="H13" s="3">
        <f t="shared" si="1"/>
        <v>8.1299999999999997E-2</v>
      </c>
      <c r="I13" s="3">
        <f t="shared" si="1"/>
        <v>1.2E-2</v>
      </c>
      <c r="J13" s="3">
        <f t="shared" si="1"/>
        <v>2.4</v>
      </c>
      <c r="K13" s="3">
        <f t="shared" si="1"/>
        <v>47.600699999999996</v>
      </c>
      <c r="L13" s="3">
        <f t="shared" si="1"/>
        <v>2.0642999999999998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108</v>
      </c>
      <c r="B15" s="1" t="s">
        <v>42</v>
      </c>
      <c r="C15" s="1">
        <v>180</v>
      </c>
      <c r="D15" s="1">
        <f>0.14*C15/100</f>
        <v>0.252</v>
      </c>
      <c r="E15" s="1">
        <f>1.08*C15/100</f>
        <v>1.944</v>
      </c>
      <c r="F15" s="1">
        <f>12.58*C15/100</f>
        <v>22.644000000000002</v>
      </c>
      <c r="G15" s="1">
        <f>13.24*C15/100</f>
        <v>23.831999999999997</v>
      </c>
      <c r="H15" s="1">
        <f>0*C15/100</f>
        <v>0</v>
      </c>
      <c r="I15" s="1">
        <f>0.04*C15/100</f>
        <v>7.2000000000000008E-2</v>
      </c>
      <c r="J15" s="1">
        <f>0.77*C15/100</f>
        <v>1.3859999999999999</v>
      </c>
      <c r="K15" s="1">
        <f>34.41*C15/100</f>
        <v>61.937999999999995</v>
      </c>
      <c r="L15" s="1">
        <f>0.32*C15/100</f>
        <v>0.57600000000000007</v>
      </c>
    </row>
    <row r="16" spans="1:12" x14ac:dyDescent="0.3">
      <c r="A16" s="1">
        <v>110</v>
      </c>
      <c r="B16" s="1" t="s">
        <v>43</v>
      </c>
      <c r="C16" s="1">
        <v>70</v>
      </c>
      <c r="D16" s="1">
        <f>20.2*C16/100</f>
        <v>14.14</v>
      </c>
      <c r="E16" s="1">
        <f>8.01*C16/100</f>
        <v>5.6069999999999993</v>
      </c>
      <c r="F16" s="1">
        <f>15.29*C16/100</f>
        <v>10.702999999999999</v>
      </c>
      <c r="G16" s="1">
        <f>224.17*C16/100</f>
        <v>156.91899999999998</v>
      </c>
      <c r="H16" s="1">
        <f>0.12*C16/100</f>
        <v>8.4000000000000005E-2</v>
      </c>
      <c r="I16" s="1">
        <f>0.12*C16/100</f>
        <v>8.4000000000000005E-2</v>
      </c>
      <c r="J16" s="1">
        <f>1.34*C16/100</f>
        <v>0.93800000000000017</v>
      </c>
      <c r="K16" s="1">
        <f>16.9*C16/100</f>
        <v>11.83</v>
      </c>
      <c r="L16" s="1">
        <f>1.24*C16/100</f>
        <v>0.86799999999999999</v>
      </c>
    </row>
    <row r="17" spans="1:12" x14ac:dyDescent="0.3">
      <c r="A17" s="1">
        <v>302</v>
      </c>
      <c r="B17" s="1" t="s">
        <v>75</v>
      </c>
      <c r="C17" s="1">
        <v>80</v>
      </c>
      <c r="D17" s="1">
        <f>0.38*C17/100</f>
        <v>0.30399999999999999</v>
      </c>
      <c r="E17" s="1">
        <f>14.1*C17/100</f>
        <v>11.28</v>
      </c>
      <c r="F17" s="1">
        <f>12.62*C17/100</f>
        <v>10.095999999999998</v>
      </c>
      <c r="G17" s="1">
        <f>281.38*C17/100</f>
        <v>225.10400000000001</v>
      </c>
      <c r="H17" s="1">
        <f>0*C17/100</f>
        <v>0</v>
      </c>
      <c r="I17" s="1">
        <f>0.07*C17/100</f>
        <v>5.6000000000000008E-2</v>
      </c>
      <c r="J17" s="1">
        <f>0*C17/100</f>
        <v>0</v>
      </c>
      <c r="K17" s="1">
        <f>91.11*C17/100</f>
        <v>72.888000000000005</v>
      </c>
      <c r="L17" s="1">
        <f>0.8*C17/100</f>
        <v>0.64</v>
      </c>
    </row>
    <row r="18" spans="1:12" ht="21.6" x14ac:dyDescent="0.3">
      <c r="A18" s="1">
        <v>18</v>
      </c>
      <c r="B18" s="2" t="s">
        <v>45</v>
      </c>
      <c r="C18" s="1">
        <v>45</v>
      </c>
      <c r="D18" s="1">
        <f>0.84*C18/100</f>
        <v>0.37799999999999995</v>
      </c>
      <c r="E18" s="1">
        <f>4.61*C18/100</f>
        <v>2.0745</v>
      </c>
      <c r="F18" s="1">
        <f>8.07*C18/100</f>
        <v>3.6315000000000004</v>
      </c>
      <c r="G18" s="1">
        <f>88.46*C18/100</f>
        <v>39.806999999999995</v>
      </c>
      <c r="H18" s="1">
        <f>0.04*C18/100</f>
        <v>1.8000000000000002E-2</v>
      </c>
      <c r="I18" s="1">
        <f>0.05*C18/100</f>
        <v>2.2499999999999999E-2</v>
      </c>
      <c r="J18" s="1">
        <f>3.21*C18/100</f>
        <v>1.4444999999999999</v>
      </c>
      <c r="K18" s="1">
        <f>35.96*C18/100</f>
        <v>16.182000000000002</v>
      </c>
      <c r="L18" s="1">
        <f>11.36*C18/100</f>
        <v>5.1120000000000001</v>
      </c>
    </row>
    <row r="19" spans="1:12" x14ac:dyDescent="0.3">
      <c r="A19" s="1" t="s">
        <v>17</v>
      </c>
      <c r="B19" s="1" t="s">
        <v>24</v>
      </c>
      <c r="C19" s="1">
        <v>40</v>
      </c>
      <c r="D19" s="1">
        <f>7.2*C19/100</f>
        <v>2.88</v>
      </c>
      <c r="E19" s="1">
        <f>1*C19/100</f>
        <v>0.4</v>
      </c>
      <c r="F19" s="1">
        <f>48.3*C19/100</f>
        <v>19.32</v>
      </c>
      <c r="G19" s="1">
        <f>213.6*C19/100</f>
        <v>85.44</v>
      </c>
      <c r="H19" s="1">
        <f>0.2*C19/100</f>
        <v>0.08</v>
      </c>
      <c r="I19" s="1">
        <f>0*C19/100</f>
        <v>0</v>
      </c>
      <c r="J19" s="1">
        <f>0*C19/100</f>
        <v>0</v>
      </c>
      <c r="K19" s="1">
        <f>23*C19/100</f>
        <v>9.1999999999999993</v>
      </c>
      <c r="L19" s="1">
        <f>1.9*C19/100</f>
        <v>0.76</v>
      </c>
    </row>
    <row r="20" spans="1:12" x14ac:dyDescent="0.3">
      <c r="A20" s="1">
        <v>126</v>
      </c>
      <c r="B20" s="1" t="s">
        <v>46</v>
      </c>
      <c r="C20" s="1">
        <v>185</v>
      </c>
      <c r="D20" s="1">
        <f>0.52*C20/100</f>
        <v>0.96200000000000008</v>
      </c>
      <c r="E20" s="1">
        <f>0*C20/100</f>
        <v>0</v>
      </c>
      <c r="F20" s="1">
        <f>13.48*C20/100</f>
        <v>24.938000000000002</v>
      </c>
      <c r="G20" s="1">
        <f>53.72*C20/100</f>
        <v>99.381999999999991</v>
      </c>
      <c r="H20" s="1">
        <f>0.01*C20/100</f>
        <v>1.8500000000000003E-2</v>
      </c>
      <c r="I20" s="1">
        <f>0.02*C20/100</f>
        <v>3.7000000000000005E-2</v>
      </c>
      <c r="J20" s="1">
        <f>0.4*C20/100</f>
        <v>0.74</v>
      </c>
      <c r="K20" s="1">
        <f>20.57*C20/100</f>
        <v>38.054500000000004</v>
      </c>
      <c r="L20" s="1">
        <f>0.34*C20/100</f>
        <v>0.629</v>
      </c>
    </row>
    <row r="21" spans="1:12" x14ac:dyDescent="0.3">
      <c r="A21" s="1"/>
      <c r="B21" s="1"/>
      <c r="C21" s="3">
        <f>SUM(C15:C20)</f>
        <v>600</v>
      </c>
      <c r="D21" s="3">
        <f t="shared" ref="D21:L21" si="2">SUM(D15:D20)</f>
        <v>18.916</v>
      </c>
      <c r="E21" s="3">
        <f t="shared" si="2"/>
        <v>21.305499999999999</v>
      </c>
      <c r="F21" s="3">
        <f t="shared" si="2"/>
        <v>91.332499999999996</v>
      </c>
      <c r="G21" s="3">
        <f t="shared" si="2"/>
        <v>630.48400000000004</v>
      </c>
      <c r="H21" s="3">
        <f t="shared" si="2"/>
        <v>0.20050000000000001</v>
      </c>
      <c r="I21" s="3">
        <f t="shared" si="2"/>
        <v>0.27150000000000002</v>
      </c>
      <c r="J21" s="3">
        <f t="shared" si="2"/>
        <v>4.5084999999999997</v>
      </c>
      <c r="K21" s="3">
        <f t="shared" si="2"/>
        <v>210.09250000000003</v>
      </c>
      <c r="L21" s="3">
        <f t="shared" si="2"/>
        <v>8.5849999999999991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454</v>
      </c>
      <c r="B23" s="1" t="s">
        <v>47</v>
      </c>
      <c r="C23" s="1">
        <v>100</v>
      </c>
      <c r="D23" s="1">
        <f>3.85*C23/100</f>
        <v>3.85</v>
      </c>
      <c r="E23" s="1">
        <f>4.5*C23/100</f>
        <v>4.5</v>
      </c>
      <c r="F23" s="1">
        <f>14.24*C23/100</f>
        <v>14.24</v>
      </c>
      <c r="G23" s="1">
        <f>128.18*C23/100</f>
        <v>128.18</v>
      </c>
      <c r="H23" s="1">
        <f>0.12*C23/100</f>
        <v>0.12</v>
      </c>
      <c r="I23" s="1">
        <f>0.1*C23/100</f>
        <v>0.1</v>
      </c>
      <c r="J23" s="1">
        <f>0.1*C23/100</f>
        <v>0.1</v>
      </c>
      <c r="K23" s="1">
        <f>21.4*C23/100</f>
        <v>21.4</v>
      </c>
      <c r="L23" s="1">
        <f>1.42*C23/100</f>
        <v>1.42</v>
      </c>
    </row>
    <row r="24" spans="1:12" x14ac:dyDescent="0.3">
      <c r="A24" s="1">
        <v>138</v>
      </c>
      <c r="B24" s="1" t="s">
        <v>16</v>
      </c>
      <c r="C24" s="1">
        <v>150</v>
      </c>
      <c r="D24" s="1">
        <f>1.02*C24/100</f>
        <v>1.53</v>
      </c>
      <c r="E24" s="1">
        <f>1.25*C24/100</f>
        <v>1.875</v>
      </c>
      <c r="F24" s="1">
        <f>7.95*C24/100</f>
        <v>11.925000000000001</v>
      </c>
      <c r="G24" s="1">
        <f>34.64*C24/100</f>
        <v>51.96</v>
      </c>
      <c r="H24" s="1">
        <f>0.01*C24/100</f>
        <v>1.4999999999999999E-2</v>
      </c>
      <c r="I24" s="1">
        <f>0.07*C24/100</f>
        <v>0.10500000000000002</v>
      </c>
      <c r="J24" s="1">
        <f>0.33*C24/100</f>
        <v>0.495</v>
      </c>
      <c r="K24" s="1">
        <f>64.05*C24/100</f>
        <v>96.075000000000003</v>
      </c>
      <c r="L24" s="1">
        <f>0.32*C24/100</f>
        <v>0.48</v>
      </c>
    </row>
    <row r="25" spans="1:12" x14ac:dyDescent="0.3">
      <c r="A25" s="1"/>
      <c r="B25" s="1"/>
      <c r="C25" s="3">
        <f>SUM(C23:C24)</f>
        <v>250</v>
      </c>
      <c r="D25" s="3">
        <f t="shared" ref="D25:L25" si="3">SUM(D23:D24)</f>
        <v>5.38</v>
      </c>
      <c r="E25" s="3">
        <f t="shared" si="3"/>
        <v>6.375</v>
      </c>
      <c r="F25" s="3">
        <f t="shared" si="3"/>
        <v>26.164999999999999</v>
      </c>
      <c r="G25" s="3">
        <f t="shared" si="3"/>
        <v>180.14000000000001</v>
      </c>
      <c r="H25" s="3">
        <f t="shared" si="3"/>
        <v>0.13500000000000001</v>
      </c>
      <c r="I25" s="3">
        <f t="shared" si="3"/>
        <v>0.20500000000000002</v>
      </c>
      <c r="J25" s="3">
        <f t="shared" si="3"/>
        <v>0.59499999999999997</v>
      </c>
      <c r="K25" s="3">
        <f t="shared" si="3"/>
        <v>117.47499999999999</v>
      </c>
      <c r="L25" s="3">
        <f t="shared" si="3"/>
        <v>1.9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 t="s">
        <v>17</v>
      </c>
      <c r="B27" s="1" t="s">
        <v>21</v>
      </c>
      <c r="C27" s="1">
        <v>20</v>
      </c>
      <c r="D27" s="1">
        <f>10.28*C27/100</f>
        <v>2.056</v>
      </c>
      <c r="E27" s="1">
        <f>15.42*C27/100</f>
        <v>3.0839999999999996</v>
      </c>
      <c r="F27" s="1">
        <f>4.59*C27/100</f>
        <v>0.91799999999999993</v>
      </c>
      <c r="G27" s="1">
        <f>149.99*C27/100</f>
        <v>29.998000000000001</v>
      </c>
      <c r="H27" s="1">
        <f>0.13*C27/100</f>
        <v>2.6000000000000002E-2</v>
      </c>
      <c r="I27" s="1">
        <f>0*C27/100</f>
        <v>0</v>
      </c>
      <c r="J27" s="1">
        <f>0*C27/100</f>
        <v>0</v>
      </c>
      <c r="K27" s="1">
        <f>20*C27/100</f>
        <v>4</v>
      </c>
      <c r="L27" s="1">
        <f>1.53*C27/100</f>
        <v>0.30599999999999999</v>
      </c>
    </row>
    <row r="28" spans="1:12" x14ac:dyDescent="0.3">
      <c r="A28" s="1">
        <v>134</v>
      </c>
      <c r="B28" s="1" t="s">
        <v>20</v>
      </c>
      <c r="C28" s="1">
        <v>130</v>
      </c>
      <c r="D28" s="1">
        <f>0.5*C28/100</f>
        <v>0.65</v>
      </c>
      <c r="E28" s="1">
        <f>0.1*C28/100</f>
        <v>0.13</v>
      </c>
      <c r="F28" s="1">
        <f>9.51*C28/100</f>
        <v>12.363</v>
      </c>
      <c r="G28" s="1">
        <f>46*C28/100</f>
        <v>59.8</v>
      </c>
      <c r="H28" s="1">
        <f>0.01*C28/100</f>
        <v>1.3000000000000001E-2</v>
      </c>
      <c r="I28" s="1">
        <f>0.01*C28/100</f>
        <v>1.3000000000000001E-2</v>
      </c>
      <c r="J28" s="1">
        <f>2*C28/100</f>
        <v>2.6</v>
      </c>
      <c r="K28" s="1">
        <f>7*C28/100</f>
        <v>9.1</v>
      </c>
      <c r="L28" s="1">
        <f>1.4*C28/100</f>
        <v>1.82</v>
      </c>
    </row>
    <row r="29" spans="1:12" x14ac:dyDescent="0.3">
      <c r="A29" s="1"/>
      <c r="B29" s="1"/>
      <c r="C29" s="3">
        <f>SUM(C27:C28)</f>
        <v>150</v>
      </c>
      <c r="D29" s="3">
        <f t="shared" ref="D29:L29" si="4">SUM(D27:D28)</f>
        <v>2.706</v>
      </c>
      <c r="E29" s="3">
        <f t="shared" si="4"/>
        <v>3.2139999999999995</v>
      </c>
      <c r="F29" s="3">
        <f t="shared" si="4"/>
        <v>13.280999999999999</v>
      </c>
      <c r="G29" s="3">
        <f t="shared" si="4"/>
        <v>89.798000000000002</v>
      </c>
      <c r="H29" s="3">
        <f t="shared" si="4"/>
        <v>3.9000000000000007E-2</v>
      </c>
      <c r="I29" s="3">
        <f t="shared" si="4"/>
        <v>1.3000000000000001E-2</v>
      </c>
      <c r="J29" s="3">
        <f t="shared" si="4"/>
        <v>2.6</v>
      </c>
      <c r="K29" s="3">
        <f t="shared" si="4"/>
        <v>13.1</v>
      </c>
      <c r="L29" s="3">
        <f t="shared" si="4"/>
        <v>2.1259999999999999</v>
      </c>
    </row>
    <row r="30" spans="1:12" x14ac:dyDescent="0.3">
      <c r="A30" s="3"/>
      <c r="B30" s="3" t="s">
        <v>30</v>
      </c>
      <c r="C30" s="3"/>
      <c r="D30" s="3">
        <f t="shared" ref="D30:L30" si="5">D9+D13+D21+D25+D29</f>
        <v>40.441200000000002</v>
      </c>
      <c r="E30" s="3">
        <f t="shared" si="5"/>
        <v>46.106200000000001</v>
      </c>
      <c r="F30" s="3">
        <f t="shared" si="5"/>
        <v>195.7457</v>
      </c>
      <c r="G30" s="3">
        <f t="shared" si="5"/>
        <v>1350.42</v>
      </c>
      <c r="H30" s="3">
        <f t="shared" si="5"/>
        <v>0.61380000000000001</v>
      </c>
      <c r="I30" s="3">
        <f t="shared" si="5"/>
        <v>0.82330000000000003</v>
      </c>
      <c r="J30" s="3">
        <f t="shared" si="5"/>
        <v>11.657499999999999</v>
      </c>
      <c r="K30" s="3">
        <f t="shared" si="5"/>
        <v>738.22020000000009</v>
      </c>
      <c r="L30" s="3">
        <f t="shared" si="5"/>
        <v>16.433299999999999</v>
      </c>
    </row>
    <row r="31" spans="1:12" ht="15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workbookViewId="0">
      <selection activeCell="O15" sqref="O15"/>
    </sheetView>
  </sheetViews>
  <sheetFormatPr defaultRowHeight="14.4" x14ac:dyDescent="0.3"/>
  <cols>
    <col min="1" max="1" width="5.44140625" customWidth="1"/>
    <col min="2" max="2" width="27.332031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48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67</v>
      </c>
      <c r="B5" s="1" t="s">
        <v>40</v>
      </c>
      <c r="C5" s="1">
        <v>160</v>
      </c>
      <c r="D5" s="1">
        <f>2.29*C5/100</f>
        <v>3.6639999999999997</v>
      </c>
      <c r="E5" s="1">
        <f>2.22*C5/100</f>
        <v>3.5520000000000005</v>
      </c>
      <c r="F5" s="1">
        <f>9.25*C5/100</f>
        <v>14.8</v>
      </c>
      <c r="G5" s="1">
        <f>58.95*C5/100</f>
        <v>94.32</v>
      </c>
      <c r="H5" s="1">
        <f>0.14*C5/100</f>
        <v>0.22400000000000003</v>
      </c>
      <c r="I5" s="1">
        <f>0.07*C5/100</f>
        <v>0.11200000000000002</v>
      </c>
      <c r="J5" s="1">
        <f>0*C5/100</f>
        <v>0</v>
      </c>
      <c r="K5" s="1">
        <f>9.49*C5/100</f>
        <v>15.184000000000001</v>
      </c>
      <c r="L5" s="1">
        <f>3.03*C5/100</f>
        <v>4.8479999999999999</v>
      </c>
    </row>
    <row r="6" spans="1:12" x14ac:dyDescent="0.3">
      <c r="A6" s="1" t="s">
        <v>17</v>
      </c>
      <c r="B6" s="1" t="s">
        <v>24</v>
      </c>
      <c r="C6" s="1">
        <v>40</v>
      </c>
      <c r="D6" s="1">
        <f>7.9*C6/100</f>
        <v>3.16</v>
      </c>
      <c r="E6" s="1">
        <f>1*C6/100</f>
        <v>0.4</v>
      </c>
      <c r="F6" s="1">
        <f>28.3*C6/100</f>
        <v>11.32</v>
      </c>
      <c r="G6" s="1">
        <f>113.6*C6/100</f>
        <v>45.44</v>
      </c>
      <c r="H6" s="1">
        <f>0.2*C6/100</f>
        <v>0.08</v>
      </c>
      <c r="I6" s="1">
        <f>0*C6/100</f>
        <v>0</v>
      </c>
      <c r="J6" s="1">
        <f t="shared" ref="J6:J7" si="0">0*C6/100</f>
        <v>0</v>
      </c>
      <c r="K6" s="1">
        <f>23*C6/100</f>
        <v>9.1999999999999993</v>
      </c>
      <c r="L6" s="1">
        <f>1.9*C6/100</f>
        <v>0.76</v>
      </c>
    </row>
    <row r="7" spans="1:12" x14ac:dyDescent="0.3">
      <c r="A7" s="1">
        <v>138</v>
      </c>
      <c r="B7" s="1" t="s">
        <v>16</v>
      </c>
      <c r="C7" s="1">
        <v>200</v>
      </c>
      <c r="D7" s="1">
        <f>1.98*C7/100</f>
        <v>3.96</v>
      </c>
      <c r="E7" s="1">
        <f>4.08*C7/100</f>
        <v>8.16</v>
      </c>
      <c r="F7" s="1">
        <f>12.85*C7/100</f>
        <v>25.7</v>
      </c>
      <c r="G7" s="1">
        <f>110*C7/100</f>
        <v>220</v>
      </c>
      <c r="H7" s="1">
        <f>0.12*C7/100</f>
        <v>0.24</v>
      </c>
      <c r="I7" s="1">
        <f>0.08*C7/100</f>
        <v>0.16</v>
      </c>
      <c r="J7" s="1">
        <f t="shared" si="0"/>
        <v>0</v>
      </c>
      <c r="K7" s="1">
        <f>23.25*C7/100</f>
        <v>46.5</v>
      </c>
      <c r="L7" s="1">
        <f>1.55*C7/100</f>
        <v>3.1</v>
      </c>
    </row>
    <row r="8" spans="1:12" ht="15" hidden="1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 t="shared" ref="J8" si="1"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>SUM(C5:C8)</f>
        <v>400</v>
      </c>
      <c r="D9" s="3">
        <f>D5+D6+D7</f>
        <v>10.783999999999999</v>
      </c>
      <c r="E9" s="3">
        <f t="shared" ref="E9:L9" si="2">E5+E6+E7</f>
        <v>12.112</v>
      </c>
      <c r="F9" s="3">
        <f t="shared" si="2"/>
        <v>51.82</v>
      </c>
      <c r="G9" s="3">
        <f t="shared" si="2"/>
        <v>359.76</v>
      </c>
      <c r="H9" s="3">
        <f t="shared" si="2"/>
        <v>0.54400000000000004</v>
      </c>
      <c r="I9" s="3">
        <f t="shared" si="2"/>
        <v>0.27200000000000002</v>
      </c>
      <c r="J9" s="3">
        <f t="shared" si="2"/>
        <v>0</v>
      </c>
      <c r="K9" s="3">
        <f t="shared" si="2"/>
        <v>70.884</v>
      </c>
      <c r="L9" s="3">
        <f t="shared" si="2"/>
        <v>8.7080000000000002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90</v>
      </c>
      <c r="D11" s="1">
        <f>1.15*C11/100</f>
        <v>1.0349999999999999</v>
      </c>
      <c r="E11" s="1">
        <f>0.1*C11/100</f>
        <v>0.09</v>
      </c>
      <c r="F11" s="1">
        <f>8.1*C11/100</f>
        <v>7.29</v>
      </c>
      <c r="G11" s="1">
        <f>46*C11/100</f>
        <v>41.4</v>
      </c>
      <c r="H11" s="1">
        <f>0.01*C11/100</f>
        <v>9.0000000000000011E-3</v>
      </c>
      <c r="I11" s="1">
        <f>0.01*C11/100</f>
        <v>9.0000000000000011E-3</v>
      </c>
      <c r="J11" s="1">
        <f>2*C11/100</f>
        <v>1.8</v>
      </c>
      <c r="K11" s="1">
        <f>7*C11/100</f>
        <v>6.3</v>
      </c>
      <c r="L11" s="1">
        <f>1.4*C11/100</f>
        <v>1.2599999999999998</v>
      </c>
    </row>
    <row r="12" spans="1:12" x14ac:dyDescent="0.3">
      <c r="A12" s="1" t="s">
        <v>17</v>
      </c>
      <c r="B12" s="1" t="s">
        <v>21</v>
      </c>
      <c r="C12" s="1">
        <v>10</v>
      </c>
      <c r="D12" s="1">
        <f>16.54*C12/100</f>
        <v>1.6539999999999997</v>
      </c>
      <c r="E12" s="1">
        <f>29.56*C12/100</f>
        <v>2.9559999999999995</v>
      </c>
      <c r="F12" s="1">
        <f>58.01*C12/100</f>
        <v>5.8010000000000002</v>
      </c>
      <c r="G12" s="1">
        <f>485*C12/100</f>
        <v>48.5</v>
      </c>
      <c r="H12" s="1">
        <f>0.13*C12/100</f>
        <v>1.3000000000000001E-2</v>
      </c>
      <c r="I12" s="1">
        <f t="shared" ref="I12" si="3">0*C12/100</f>
        <v>0</v>
      </c>
      <c r="J12" s="1">
        <f t="shared" ref="J12" si="4">0*C12/100</f>
        <v>0</v>
      </c>
      <c r="K12" s="1">
        <f>20*C12/100</f>
        <v>2</v>
      </c>
      <c r="L12" s="1">
        <f>1.53*C12/100</f>
        <v>0.153</v>
      </c>
    </row>
    <row r="13" spans="1:12" x14ac:dyDescent="0.3">
      <c r="A13" s="1"/>
      <c r="B13" s="1"/>
      <c r="C13" s="3">
        <f>SUM(C11:C12)</f>
        <v>100</v>
      </c>
      <c r="D13" s="3">
        <f>SUM(D11:D12)</f>
        <v>2.6889999999999996</v>
      </c>
      <c r="E13" s="3">
        <f t="shared" ref="E13:L13" si="5">SUM(E11:E12)</f>
        <v>3.0459999999999994</v>
      </c>
      <c r="F13" s="3">
        <f t="shared" si="5"/>
        <v>13.091000000000001</v>
      </c>
      <c r="G13" s="3">
        <f t="shared" si="5"/>
        <v>89.9</v>
      </c>
      <c r="H13" s="3">
        <f t="shared" si="5"/>
        <v>2.2000000000000002E-2</v>
      </c>
      <c r="I13" s="3">
        <f t="shared" si="5"/>
        <v>9.0000000000000011E-3</v>
      </c>
      <c r="J13" s="3">
        <f t="shared" si="5"/>
        <v>1.8</v>
      </c>
      <c r="K13" s="3">
        <f t="shared" si="5"/>
        <v>8.3000000000000007</v>
      </c>
      <c r="L13" s="3">
        <f t="shared" si="5"/>
        <v>1.4129999999999998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82</v>
      </c>
      <c r="B15" s="1" t="s">
        <v>79</v>
      </c>
      <c r="C15" s="1">
        <v>200</v>
      </c>
      <c r="D15" s="1">
        <f>1.73*C15/100</f>
        <v>3.46</v>
      </c>
      <c r="E15" s="1">
        <f>2.02*C15/100</f>
        <v>4.04</v>
      </c>
      <c r="F15" s="1">
        <f>12.33*C15/100</f>
        <v>24.66</v>
      </c>
      <c r="G15" s="1">
        <f>80.23*C15/100</f>
        <v>160.46</v>
      </c>
      <c r="H15" s="1">
        <f>0*C15/100</f>
        <v>0</v>
      </c>
      <c r="I15" s="1">
        <f>0*C15/100</f>
        <v>0</v>
      </c>
      <c r="J15" s="1">
        <f>5.16*C15/100</f>
        <v>10.32</v>
      </c>
      <c r="K15" s="1">
        <f>34.36*C15/100</f>
        <v>68.72</v>
      </c>
      <c r="L15" s="1">
        <f>0.34*C15/100</f>
        <v>0.68</v>
      </c>
    </row>
    <row r="16" spans="1:12" x14ac:dyDescent="0.3">
      <c r="A16" s="1">
        <v>277</v>
      </c>
      <c r="B16" s="1" t="s">
        <v>77</v>
      </c>
      <c r="C16" s="1">
        <v>60</v>
      </c>
      <c r="D16" s="1">
        <f>8.52*C16/100</f>
        <v>5.1120000000000001</v>
      </c>
      <c r="E16" s="1">
        <f>23.15*C16/100</f>
        <v>13.89</v>
      </c>
      <c r="F16" s="1">
        <f>5.18*C16/100</f>
        <v>3.1079999999999997</v>
      </c>
      <c r="G16" s="1">
        <f>240.05*C16/100</f>
        <v>144.03</v>
      </c>
      <c r="H16" s="1">
        <f>0.08*C16/100</f>
        <v>4.8000000000000001E-2</v>
      </c>
      <c r="I16" s="1">
        <f>0.06*C16/100</f>
        <v>3.5999999999999997E-2</v>
      </c>
      <c r="J16" s="1">
        <f>4.16*C16/100</f>
        <v>2.4960000000000004</v>
      </c>
      <c r="K16" s="1">
        <f>42.96*C16/100</f>
        <v>25.776</v>
      </c>
      <c r="L16" s="1">
        <f>0.85*C16/100</f>
        <v>0.51</v>
      </c>
    </row>
    <row r="17" spans="1:12" x14ac:dyDescent="0.3">
      <c r="A17" s="1">
        <v>315</v>
      </c>
      <c r="B17" s="1" t="s">
        <v>44</v>
      </c>
      <c r="C17" s="1">
        <v>80</v>
      </c>
      <c r="D17" s="1">
        <f>2.43*C17/100</f>
        <v>1.944</v>
      </c>
      <c r="E17" s="1">
        <f>3.38*C17/100</f>
        <v>2.7039999999999997</v>
      </c>
      <c r="F17" s="1">
        <f>20.26*C17/100</f>
        <v>16.208000000000002</v>
      </c>
      <c r="G17" s="1">
        <f>139*C17/100</f>
        <v>111.2</v>
      </c>
      <c r="H17" s="1">
        <f>0.02*C17/100</f>
        <v>1.6E-2</v>
      </c>
      <c r="I17" s="1">
        <f>0.01*C17/100</f>
        <v>8.0000000000000002E-3</v>
      </c>
      <c r="J17" s="1">
        <f>0*C17/100</f>
        <v>0</v>
      </c>
      <c r="K17" s="1">
        <f>0.91*C17/100</f>
        <v>0.72799999999999998</v>
      </c>
      <c r="L17" s="1">
        <f>0.35*C17/100</f>
        <v>0.28000000000000003</v>
      </c>
    </row>
    <row r="18" spans="1:12" x14ac:dyDescent="0.3">
      <c r="A18" s="1" t="s">
        <v>17</v>
      </c>
      <c r="B18" s="1" t="s">
        <v>25</v>
      </c>
      <c r="C18" s="1">
        <v>20</v>
      </c>
      <c r="D18" s="1">
        <f>23*C18/100</f>
        <v>4.5999999999999996</v>
      </c>
      <c r="E18" s="1">
        <f>1.8*C18/100</f>
        <v>0.36</v>
      </c>
      <c r="F18" s="1">
        <f>53.3*C18/100</f>
        <v>10.66</v>
      </c>
      <c r="G18" s="1">
        <f>302.1*C18/100</f>
        <v>60.42</v>
      </c>
      <c r="H18" s="1">
        <f>0.8*C18/100</f>
        <v>0.16</v>
      </c>
      <c r="I18" s="1">
        <f>0.2*C18/100</f>
        <v>0.04</v>
      </c>
      <c r="J18" s="1">
        <f t="shared" ref="J18:J19" si="6">0*C18/100</f>
        <v>0</v>
      </c>
      <c r="K18" s="1">
        <f>115*C18/100</f>
        <v>23</v>
      </c>
      <c r="L18" s="1">
        <f>9.4*C18/100</f>
        <v>1.88</v>
      </c>
    </row>
    <row r="19" spans="1:12" x14ac:dyDescent="0.3">
      <c r="A19" s="1" t="s">
        <v>17</v>
      </c>
      <c r="B19" s="1" t="s">
        <v>24</v>
      </c>
      <c r="C19" s="1">
        <v>40</v>
      </c>
      <c r="D19" s="1">
        <f>7.9*C19/100</f>
        <v>3.16</v>
      </c>
      <c r="E19" s="1">
        <f>1*C19/100</f>
        <v>0.4</v>
      </c>
      <c r="F19" s="1">
        <f>48.3*C19/100</f>
        <v>19.32</v>
      </c>
      <c r="G19" s="1">
        <f>213.1*C19/100</f>
        <v>85.24</v>
      </c>
      <c r="H19" s="1">
        <f>0.2*C19/100</f>
        <v>0.08</v>
      </c>
      <c r="I19" s="1">
        <f>0*C19/100</f>
        <v>0</v>
      </c>
      <c r="J19" s="1">
        <f t="shared" si="6"/>
        <v>0</v>
      </c>
      <c r="K19" s="1">
        <f>23*C19/100</f>
        <v>9.1999999999999993</v>
      </c>
      <c r="L19" s="1">
        <f>1.9*C19/100</f>
        <v>0.76</v>
      </c>
    </row>
    <row r="20" spans="1:12" x14ac:dyDescent="0.3">
      <c r="A20" s="1">
        <v>127</v>
      </c>
      <c r="B20" s="1" t="s">
        <v>26</v>
      </c>
      <c r="C20" s="1">
        <v>200</v>
      </c>
      <c r="D20" s="1">
        <f>0.3*C20/100</f>
        <v>0.6</v>
      </c>
      <c r="E20" s="1">
        <f>0.04*C20/100</f>
        <v>0.08</v>
      </c>
      <c r="F20" s="1">
        <f>8.71*C20/100</f>
        <v>17.420000000000002</v>
      </c>
      <c r="G20" s="1">
        <f>34.72*C20/100</f>
        <v>69.44</v>
      </c>
      <c r="H20" s="1">
        <f>0.003*C20/100</f>
        <v>6.0000000000000001E-3</v>
      </c>
      <c r="I20" s="1">
        <f>0.004*C20/100</f>
        <v>8.0000000000000002E-3</v>
      </c>
      <c r="J20" s="1">
        <f>20*C20/100</f>
        <v>40</v>
      </c>
      <c r="K20" s="1">
        <f>3.76*C20/100</f>
        <v>7.52</v>
      </c>
      <c r="L20" s="1">
        <f>0.15*C20/100</f>
        <v>0.3</v>
      </c>
    </row>
    <row r="21" spans="1:12" x14ac:dyDescent="0.3">
      <c r="A21" s="1"/>
      <c r="B21" s="1"/>
      <c r="C21" s="3">
        <f>SUM(C15:C20)</f>
        <v>600</v>
      </c>
      <c r="D21" s="3">
        <f>SUM(D15:D20)</f>
        <v>18.875999999999998</v>
      </c>
      <c r="E21" s="3">
        <f t="shared" ref="E21:L21" si="7">SUM(E15:E20)</f>
        <v>21.473999999999997</v>
      </c>
      <c r="F21" s="3">
        <f t="shared" si="7"/>
        <v>91.375999999999991</v>
      </c>
      <c r="G21" s="3">
        <f t="shared" si="7"/>
        <v>630.79</v>
      </c>
      <c r="H21" s="3">
        <f t="shared" si="7"/>
        <v>0.31</v>
      </c>
      <c r="I21" s="3">
        <f t="shared" si="7"/>
        <v>9.1999999999999998E-2</v>
      </c>
      <c r="J21" s="3">
        <f t="shared" si="7"/>
        <v>52.816000000000003</v>
      </c>
      <c r="K21" s="3">
        <f t="shared" si="7"/>
        <v>134.94399999999999</v>
      </c>
      <c r="L21" s="3">
        <f t="shared" si="7"/>
        <v>4.4099999999999993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493</v>
      </c>
      <c r="B23" s="1" t="s">
        <v>51</v>
      </c>
      <c r="C23" s="1">
        <v>50</v>
      </c>
      <c r="D23" s="1">
        <f>5.37*C23/100</f>
        <v>2.6850000000000001</v>
      </c>
      <c r="E23" s="1">
        <f>12.5*C23/100</f>
        <v>6.25</v>
      </c>
      <c r="F23" s="1">
        <f>16.11*C23/100</f>
        <v>8.0549999999999997</v>
      </c>
      <c r="G23" s="1">
        <f>217*C23/100</f>
        <v>108.5</v>
      </c>
      <c r="H23" s="1">
        <f>0.09*C23/100</f>
        <v>4.4999999999999998E-2</v>
      </c>
      <c r="I23" s="1">
        <f>0.08*C23/100</f>
        <v>0.04</v>
      </c>
      <c r="J23" s="1">
        <f>0.01*C23/100</f>
        <v>5.0000000000000001E-3</v>
      </c>
      <c r="K23" s="1">
        <f>17.1*C23/100</f>
        <v>8.5500000000000007</v>
      </c>
      <c r="L23" s="1">
        <f>1.22*C23/100</f>
        <v>0.61</v>
      </c>
    </row>
    <row r="24" spans="1:12" x14ac:dyDescent="0.3">
      <c r="A24" s="1">
        <v>233</v>
      </c>
      <c r="B24" s="1" t="s">
        <v>36</v>
      </c>
      <c r="C24" s="1">
        <v>200</v>
      </c>
      <c r="D24" s="1">
        <f>1.36*C24/100</f>
        <v>2.72</v>
      </c>
      <c r="E24" s="1">
        <f>0*C24/100</f>
        <v>0</v>
      </c>
      <c r="F24" s="1">
        <f>9.02*C24/100</f>
        <v>18.04</v>
      </c>
      <c r="G24" s="1">
        <f>35.89*C24/100</f>
        <v>71.78</v>
      </c>
      <c r="H24" s="1">
        <f>0.3*C24/100</f>
        <v>0.6</v>
      </c>
      <c r="I24" s="1">
        <f>0.3*C24/100</f>
        <v>0.6</v>
      </c>
      <c r="J24" s="1">
        <f>15*C24/100</f>
        <v>30</v>
      </c>
      <c r="K24" s="1">
        <f>4.5*C24/100</f>
        <v>9</v>
      </c>
      <c r="L24" s="1">
        <f>0*C24/100</f>
        <v>0</v>
      </c>
    </row>
    <row r="25" spans="1:12" x14ac:dyDescent="0.3">
      <c r="A25" s="1"/>
      <c r="B25" s="1"/>
      <c r="C25" s="3">
        <f>SUM(C23:C24)</f>
        <v>250</v>
      </c>
      <c r="D25" s="3">
        <f>SUM(D23:D24)</f>
        <v>5.4050000000000002</v>
      </c>
      <c r="E25" s="3">
        <f t="shared" ref="E25:L25" si="8">SUM(E23:E24)</f>
        <v>6.25</v>
      </c>
      <c r="F25" s="3">
        <f t="shared" si="8"/>
        <v>26.094999999999999</v>
      </c>
      <c r="G25" s="3">
        <f t="shared" si="8"/>
        <v>180.28</v>
      </c>
      <c r="H25" s="3">
        <f t="shared" si="8"/>
        <v>0.64500000000000002</v>
      </c>
      <c r="I25" s="3">
        <f t="shared" si="8"/>
        <v>0.64</v>
      </c>
      <c r="J25" s="3">
        <f t="shared" si="8"/>
        <v>30.004999999999999</v>
      </c>
      <c r="K25" s="3">
        <f t="shared" si="8"/>
        <v>17.55</v>
      </c>
      <c r="L25" s="3">
        <f t="shared" si="8"/>
        <v>0.61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" hidden="1" x14ac:dyDescent="0.25">
      <c r="A27" s="1"/>
      <c r="B27" s="1"/>
      <c r="C27" s="1"/>
      <c r="D27" s="1">
        <f>6.92*C27/100</f>
        <v>0</v>
      </c>
      <c r="E27" s="1">
        <f>35.67*C27/100</f>
        <v>0</v>
      </c>
      <c r="F27" s="1">
        <f>52.42*C27/100</f>
        <v>0</v>
      </c>
      <c r="G27" s="1">
        <f>547*C27/100</f>
        <v>0</v>
      </c>
      <c r="H27" s="1">
        <f>0.33*C27/100</f>
        <v>0</v>
      </c>
      <c r="I27" s="1">
        <f t="shared" ref="I27:I28" si="9">0*C27/100</f>
        <v>0</v>
      </c>
      <c r="J27" s="1">
        <f t="shared" ref="J27:J28" si="10">0*C27/100</f>
        <v>0</v>
      </c>
      <c r="K27" s="1">
        <f>186.67*C27/100</f>
        <v>0</v>
      </c>
      <c r="L27" s="1">
        <f>1.83*C27/100</f>
        <v>0</v>
      </c>
    </row>
    <row r="28" spans="1:12" x14ac:dyDescent="0.3">
      <c r="A28" s="1" t="s">
        <v>17</v>
      </c>
      <c r="B28" s="1" t="s">
        <v>21</v>
      </c>
      <c r="C28" s="1">
        <v>40</v>
      </c>
      <c r="D28" s="1">
        <f>5.46*C28/100</f>
        <v>2.1840000000000002</v>
      </c>
      <c r="E28" s="1">
        <f>7.36*C28/100</f>
        <v>2.9440000000000004</v>
      </c>
      <c r="F28" s="1">
        <f>9.2*C28/100</f>
        <v>3.68</v>
      </c>
      <c r="G28" s="1">
        <f>126*C28/100</f>
        <v>50.4</v>
      </c>
      <c r="H28" s="1">
        <f>0.13*C28/100</f>
        <v>5.2000000000000005E-2</v>
      </c>
      <c r="I28" s="1">
        <f t="shared" si="9"/>
        <v>0</v>
      </c>
      <c r="J28" s="1">
        <f t="shared" si="10"/>
        <v>0</v>
      </c>
      <c r="K28" s="1">
        <f>20*C28/100</f>
        <v>8</v>
      </c>
      <c r="L28" s="1">
        <f>1.53*C28/100</f>
        <v>0.61199999999999999</v>
      </c>
    </row>
    <row r="29" spans="1:12" x14ac:dyDescent="0.3">
      <c r="A29" s="1">
        <v>134</v>
      </c>
      <c r="B29" s="1" t="s">
        <v>20</v>
      </c>
      <c r="C29" s="1">
        <v>110</v>
      </c>
      <c r="D29" s="1">
        <f>0.5*C29/100</f>
        <v>0.55000000000000004</v>
      </c>
      <c r="E29" s="1">
        <f>0.1*C29/100</f>
        <v>0.11</v>
      </c>
      <c r="F29" s="1">
        <f>8.64*C29/100</f>
        <v>9.5040000000000013</v>
      </c>
      <c r="G29" s="1">
        <f>36*C29/100</f>
        <v>39.6</v>
      </c>
      <c r="H29" s="1">
        <f>0.01*C29/100</f>
        <v>1.1000000000000001E-2</v>
      </c>
      <c r="I29" s="1">
        <f>0.01*C29/100</f>
        <v>1.1000000000000001E-2</v>
      </c>
      <c r="J29" s="1">
        <f>2*C29/100</f>
        <v>2.2000000000000002</v>
      </c>
      <c r="K29" s="1">
        <f>7*C29/100</f>
        <v>7.7</v>
      </c>
      <c r="L29" s="1">
        <f>1.4*C29/100</f>
        <v>1.54</v>
      </c>
    </row>
    <row r="30" spans="1:12" x14ac:dyDescent="0.3">
      <c r="A30" s="1"/>
      <c r="B30" s="1"/>
      <c r="C30" s="3">
        <f>SUM(C28:C29)</f>
        <v>150</v>
      </c>
      <c r="D30" s="3">
        <f t="shared" ref="D30:L30" si="11">SUM(D28:D29)</f>
        <v>2.734</v>
      </c>
      <c r="E30" s="3">
        <f t="shared" si="11"/>
        <v>3.0540000000000003</v>
      </c>
      <c r="F30" s="3">
        <f t="shared" si="11"/>
        <v>13.184000000000001</v>
      </c>
      <c r="G30" s="3">
        <f t="shared" si="11"/>
        <v>90</v>
      </c>
      <c r="H30" s="3">
        <f t="shared" si="11"/>
        <v>6.3E-2</v>
      </c>
      <c r="I30" s="3">
        <f t="shared" si="11"/>
        <v>1.1000000000000001E-2</v>
      </c>
      <c r="J30" s="3">
        <f t="shared" si="11"/>
        <v>2.2000000000000002</v>
      </c>
      <c r="K30" s="3">
        <f t="shared" si="11"/>
        <v>15.7</v>
      </c>
      <c r="L30" s="3">
        <f t="shared" si="11"/>
        <v>2.1520000000000001</v>
      </c>
    </row>
    <row r="31" spans="1:12" x14ac:dyDescent="0.3">
      <c r="A31" s="3"/>
      <c r="B31" s="3" t="s">
        <v>30</v>
      </c>
      <c r="C31" s="3"/>
      <c r="D31" s="3">
        <f>D9+D13+D21+D25+D30</f>
        <v>40.488</v>
      </c>
      <c r="E31" s="3">
        <f t="shared" ref="E31:L31" si="12">E9+E13+E21+E25+E30</f>
        <v>45.936</v>
      </c>
      <c r="F31" s="3">
        <f t="shared" si="12"/>
        <v>195.56599999999997</v>
      </c>
      <c r="G31" s="3">
        <f t="shared" si="12"/>
        <v>1350.7299999999998</v>
      </c>
      <c r="H31" s="3">
        <f t="shared" si="12"/>
        <v>1.5840000000000001</v>
      </c>
      <c r="I31" s="3">
        <f t="shared" si="12"/>
        <v>1.0239999999999998</v>
      </c>
      <c r="J31" s="3">
        <f t="shared" si="12"/>
        <v>86.820999999999998</v>
      </c>
      <c r="K31" s="3">
        <f t="shared" si="12"/>
        <v>247.37799999999999</v>
      </c>
      <c r="L31" s="3">
        <f t="shared" si="12"/>
        <v>17.292999999999999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0" workbookViewId="0">
      <selection activeCell="O13" sqref="O13"/>
    </sheetView>
  </sheetViews>
  <sheetFormatPr defaultRowHeight="14.4" x14ac:dyDescent="0.3"/>
  <cols>
    <col min="1" max="1" width="4.109375" customWidth="1"/>
    <col min="2" max="2" width="25" customWidth="1"/>
    <col min="3" max="3" width="6.66406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58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309</v>
      </c>
      <c r="B5" s="1" t="s">
        <v>14</v>
      </c>
      <c r="C5" s="1">
        <v>160</v>
      </c>
      <c r="D5" s="1">
        <f>2.82*C5/100</f>
        <v>4.5119999999999996</v>
      </c>
      <c r="E5" s="1">
        <f>0.22*C5/100</f>
        <v>0.35200000000000004</v>
      </c>
      <c r="F5" s="1">
        <f>1.77*C5/100</f>
        <v>2.8319999999999999</v>
      </c>
      <c r="G5" s="1">
        <f>88.83*C5/100</f>
        <v>142.12799999999999</v>
      </c>
      <c r="H5" s="1">
        <f>0.023*C5/100</f>
        <v>3.6799999999999999E-2</v>
      </c>
      <c r="I5" s="1">
        <f>0.01*C5/100</f>
        <v>1.6E-2</v>
      </c>
      <c r="J5" s="1">
        <f>0*C5/100</f>
        <v>0</v>
      </c>
      <c r="K5" s="1">
        <f>4.4*C5/100</f>
        <v>7.04</v>
      </c>
      <c r="L5" s="1">
        <f>0.22*C5/100</f>
        <v>0.35200000000000004</v>
      </c>
    </row>
    <row r="6" spans="1:12" x14ac:dyDescent="0.3">
      <c r="A6" s="1">
        <v>1</v>
      </c>
      <c r="B6" s="1" t="s">
        <v>15</v>
      </c>
      <c r="C6" s="1">
        <v>40</v>
      </c>
      <c r="D6" s="1">
        <f>8.22*C6/100</f>
        <v>3.2880000000000003</v>
      </c>
      <c r="E6" s="1">
        <f>19.88*C6/100</f>
        <v>7.9519999999999991</v>
      </c>
      <c r="F6" s="1">
        <f>36.55*C6/100</f>
        <v>14.62</v>
      </c>
      <c r="G6" s="1">
        <f>340*C6/100</f>
        <v>136</v>
      </c>
      <c r="H6" s="1">
        <f>0.12*C6/100</f>
        <v>4.8000000000000001E-2</v>
      </c>
      <c r="I6" s="1">
        <f>0.08*C6/100</f>
        <v>3.2000000000000001E-2</v>
      </c>
      <c r="J6" s="1">
        <f t="shared" ref="J6" si="0">0*C6/100</f>
        <v>0</v>
      </c>
      <c r="K6" s="1">
        <f>23.25*C6/100</f>
        <v>9.3000000000000007</v>
      </c>
      <c r="L6" s="1">
        <f>1.55*C6/100</f>
        <v>0.62</v>
      </c>
    </row>
    <row r="7" spans="1:12" x14ac:dyDescent="0.3">
      <c r="A7" s="1">
        <v>138</v>
      </c>
      <c r="B7" s="1" t="s">
        <v>16</v>
      </c>
      <c r="C7" s="1">
        <v>200</v>
      </c>
      <c r="D7" s="1">
        <f>1.46*C7/100</f>
        <v>2.92</v>
      </c>
      <c r="E7" s="1">
        <f>1.86*C7/100</f>
        <v>3.72</v>
      </c>
      <c r="F7" s="1">
        <f>17.39*C7/100</f>
        <v>34.78</v>
      </c>
      <c r="G7" s="1">
        <f>40.94*C7/100</f>
        <v>81.88</v>
      </c>
      <c r="H7" s="1">
        <f>0.01*C7/100</f>
        <v>0.02</v>
      </c>
      <c r="I7" s="1">
        <f>0.07*C7/100</f>
        <v>0.14000000000000001</v>
      </c>
      <c r="J7" s="1">
        <f>0.33*C7/100</f>
        <v>0.66</v>
      </c>
      <c r="K7" s="1">
        <f>64.05*C7/100</f>
        <v>128.1</v>
      </c>
      <c r="L7" s="1">
        <f>0.32*C7/100</f>
        <v>0.64</v>
      </c>
    </row>
    <row r="8" spans="1:12" ht="15" hidden="1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 t="shared" ref="J8" si="1"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>SUM(C5:C8)</f>
        <v>400</v>
      </c>
      <c r="D9" s="3">
        <f>SUM(D5:D8)</f>
        <v>10.719999999999999</v>
      </c>
      <c r="E9" s="3">
        <f t="shared" ref="E9:L9" si="2">SUM(E5:E8)</f>
        <v>12.023999999999999</v>
      </c>
      <c r="F9" s="3">
        <f t="shared" si="2"/>
        <v>52.231999999999999</v>
      </c>
      <c r="G9" s="3">
        <f t="shared" si="2"/>
        <v>360.00799999999998</v>
      </c>
      <c r="H9" s="3">
        <f t="shared" si="2"/>
        <v>0.1048</v>
      </c>
      <c r="I9" s="3">
        <f t="shared" si="2"/>
        <v>0.188</v>
      </c>
      <c r="J9" s="3">
        <f t="shared" si="2"/>
        <v>0.66</v>
      </c>
      <c r="K9" s="3">
        <f t="shared" si="2"/>
        <v>144.44</v>
      </c>
      <c r="L9" s="3">
        <f t="shared" si="2"/>
        <v>1.6120000000000001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90</v>
      </c>
      <c r="D11" s="1">
        <f>0.5*C11/100</f>
        <v>0.45</v>
      </c>
      <c r="E11" s="1">
        <f>0.1*C11/100</f>
        <v>0.09</v>
      </c>
      <c r="F11" s="1">
        <f>7.99*C11/100</f>
        <v>7.1909999999999998</v>
      </c>
      <c r="G11" s="1">
        <f>46*C11/100</f>
        <v>41.4</v>
      </c>
      <c r="H11" s="1">
        <f>0.01*C11/100</f>
        <v>9.0000000000000011E-3</v>
      </c>
      <c r="I11" s="1">
        <f>0.01*C11/100</f>
        <v>9.0000000000000011E-3</v>
      </c>
      <c r="J11" s="1">
        <f>2*C11/100</f>
        <v>1.8</v>
      </c>
      <c r="K11" s="1">
        <f>7*C11/100</f>
        <v>6.3</v>
      </c>
      <c r="L11" s="1">
        <f>1.4*C11/100</f>
        <v>1.2599999999999998</v>
      </c>
    </row>
    <row r="12" spans="1:12" x14ac:dyDescent="0.3">
      <c r="A12" s="1">
        <v>17</v>
      </c>
      <c r="B12" s="1" t="s">
        <v>80</v>
      </c>
      <c r="C12" s="1">
        <v>40</v>
      </c>
      <c r="D12" s="1">
        <f>5.64*C12/100</f>
        <v>2.2559999999999998</v>
      </c>
      <c r="E12" s="1">
        <f>7.65*C12/100</f>
        <v>3.06</v>
      </c>
      <c r="F12" s="1">
        <f>15.25*C12/100</f>
        <v>6.1</v>
      </c>
      <c r="G12" s="1">
        <f>122.07*C12/100</f>
        <v>48.827999999999996</v>
      </c>
      <c r="H12" s="1">
        <f>0.01*C12/100</f>
        <v>4.0000000000000001E-3</v>
      </c>
      <c r="I12" s="1">
        <f>0.03*C12/100</f>
        <v>1.2E-2</v>
      </c>
      <c r="J12" s="1">
        <f>9.36*C12/100</f>
        <v>3.7439999999999998</v>
      </c>
      <c r="K12" s="1">
        <f>15.2*C12/100</f>
        <v>6.08</v>
      </c>
      <c r="L12" s="1">
        <f>0.72*C12/100</f>
        <v>0.28799999999999998</v>
      </c>
    </row>
    <row r="13" spans="1:12" x14ac:dyDescent="0.3">
      <c r="A13" s="1"/>
      <c r="B13" s="1"/>
      <c r="C13" s="3">
        <f>SUM(C11:C12)</f>
        <v>130</v>
      </c>
      <c r="D13" s="3">
        <f>SUM(D11:D12)</f>
        <v>2.706</v>
      </c>
      <c r="E13" s="3">
        <f t="shared" ref="E13:L13" si="3">SUM(E11:E12)</f>
        <v>3.15</v>
      </c>
      <c r="F13" s="3">
        <f t="shared" si="3"/>
        <v>13.291</v>
      </c>
      <c r="G13" s="3">
        <f t="shared" si="3"/>
        <v>90.227999999999994</v>
      </c>
      <c r="H13" s="3">
        <f t="shared" si="3"/>
        <v>1.3000000000000001E-2</v>
      </c>
      <c r="I13" s="3">
        <f t="shared" si="3"/>
        <v>2.1000000000000001E-2</v>
      </c>
      <c r="J13" s="3">
        <f t="shared" si="3"/>
        <v>5.5439999999999996</v>
      </c>
      <c r="K13" s="3">
        <f t="shared" si="3"/>
        <v>12.379999999999999</v>
      </c>
      <c r="L13" s="3">
        <f t="shared" si="3"/>
        <v>1.5479999999999998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66</v>
      </c>
      <c r="B15" s="1" t="s">
        <v>52</v>
      </c>
      <c r="C15" s="1">
        <v>180</v>
      </c>
      <c r="D15" s="1">
        <f>1.13*C15/100</f>
        <v>2.0339999999999998</v>
      </c>
      <c r="E15" s="1">
        <f>1.73*C15/100</f>
        <v>3.1139999999999999</v>
      </c>
      <c r="F15" s="1">
        <f>18.27*C15/100</f>
        <v>32.885999999999996</v>
      </c>
      <c r="G15" s="1">
        <f>98.33*C15/100</f>
        <v>176.99400000000003</v>
      </c>
      <c r="H15" s="1">
        <f>0.01*C15/100</f>
        <v>1.8000000000000002E-2</v>
      </c>
      <c r="I15" s="1">
        <f>0.01*C15/100</f>
        <v>1.8000000000000002E-2</v>
      </c>
      <c r="J15" s="1">
        <f>0.24*C15/100</f>
        <v>0.43199999999999994</v>
      </c>
      <c r="K15" s="1">
        <f>5.05*C15/100</f>
        <v>9.09</v>
      </c>
      <c r="L15" s="1">
        <f>0.18*C15/100</f>
        <v>0.32400000000000001</v>
      </c>
    </row>
    <row r="16" spans="1:12" x14ac:dyDescent="0.3">
      <c r="A16" s="1">
        <v>101</v>
      </c>
      <c r="B16" s="1" t="s">
        <v>53</v>
      </c>
      <c r="C16" s="1">
        <v>70</v>
      </c>
      <c r="D16" s="1">
        <f>13.97*C16/100</f>
        <v>9.7790000000000017</v>
      </c>
      <c r="E16" s="1">
        <f>11.01*C16/100</f>
        <v>7.706999999999999</v>
      </c>
      <c r="F16" s="1">
        <f>5.44*C16/100</f>
        <v>3.8080000000000003</v>
      </c>
      <c r="G16" s="1">
        <f>195.15*C16/100</f>
        <v>136.60499999999999</v>
      </c>
      <c r="H16" s="1">
        <f>0.06*C16/100</f>
        <v>4.2000000000000003E-2</v>
      </c>
      <c r="I16" s="1">
        <f>0.12*C16/100</f>
        <v>8.4000000000000005E-2</v>
      </c>
      <c r="J16" s="1">
        <f>0*C16/100</f>
        <v>0</v>
      </c>
      <c r="K16" s="1">
        <f>13.6*C16/100</f>
        <v>9.52</v>
      </c>
      <c r="L16" s="1">
        <f>1.02*C16/100</f>
        <v>0.71400000000000008</v>
      </c>
    </row>
    <row r="17" spans="1:12" x14ac:dyDescent="0.3">
      <c r="A17" s="1">
        <v>205</v>
      </c>
      <c r="B17" s="1" t="s">
        <v>54</v>
      </c>
      <c r="C17" s="1">
        <v>80</v>
      </c>
      <c r="D17" s="1">
        <f>3.86*C17/100</f>
        <v>3.0880000000000001</v>
      </c>
      <c r="E17" s="1">
        <f>9.81*C17/100</f>
        <v>7.8480000000000008</v>
      </c>
      <c r="F17" s="1">
        <f>15.08*C17/100</f>
        <v>12.064</v>
      </c>
      <c r="G17" s="1">
        <f>143.12*C17/100</f>
        <v>114.49600000000001</v>
      </c>
      <c r="H17" s="1">
        <f>0.04*C17/100</f>
        <v>3.2000000000000001E-2</v>
      </c>
      <c r="I17" s="1">
        <f>0.02*C17/100</f>
        <v>1.6E-2</v>
      </c>
      <c r="J17" s="1">
        <f>0*C17/100</f>
        <v>0</v>
      </c>
      <c r="K17" s="1">
        <f>3.23*C17/100</f>
        <v>2.5839999999999996</v>
      </c>
      <c r="L17" s="1">
        <f>0.74*C17/100</f>
        <v>0.59200000000000008</v>
      </c>
    </row>
    <row r="18" spans="1:12" ht="21.6" x14ac:dyDescent="0.3">
      <c r="A18" s="1">
        <v>47</v>
      </c>
      <c r="B18" s="2" t="s">
        <v>55</v>
      </c>
      <c r="C18" s="1">
        <v>40</v>
      </c>
      <c r="D18" s="1">
        <f>1.99*C18/100</f>
        <v>0.79599999999999993</v>
      </c>
      <c r="E18" s="1">
        <f>5.54*C18/100</f>
        <v>2.2159999999999997</v>
      </c>
      <c r="F18" s="1">
        <f>11.32*C18/100</f>
        <v>4.5280000000000005</v>
      </c>
      <c r="G18" s="1">
        <f>101.2*C18/100</f>
        <v>40.479999999999997</v>
      </c>
      <c r="H18" s="1">
        <f>0.08*C18/100</f>
        <v>3.2000000000000001E-2</v>
      </c>
      <c r="I18" s="1">
        <f>0.05*C18/100</f>
        <v>0.02</v>
      </c>
      <c r="J18" s="1">
        <f>26.03*C18/100</f>
        <v>10.412000000000001</v>
      </c>
      <c r="K18" s="1">
        <f>36.59*C18/100</f>
        <v>14.636000000000001</v>
      </c>
      <c r="L18" s="1">
        <f>0.89*C18/100</f>
        <v>0.35600000000000004</v>
      </c>
    </row>
    <row r="19" spans="1:12" x14ac:dyDescent="0.3">
      <c r="A19" s="1" t="s">
        <v>17</v>
      </c>
      <c r="B19" s="1" t="s">
        <v>24</v>
      </c>
      <c r="C19" s="1">
        <v>40</v>
      </c>
      <c r="D19" s="1">
        <f>7.9*C19/100</f>
        <v>3.16</v>
      </c>
      <c r="E19" s="1">
        <f>1*C19/100</f>
        <v>0.4</v>
      </c>
      <c r="F19" s="1">
        <f>48.3*C19/100</f>
        <v>19.32</v>
      </c>
      <c r="G19" s="1">
        <f>213.6*C19/100</f>
        <v>85.44</v>
      </c>
      <c r="H19" s="1">
        <f>0.2*C19/100</f>
        <v>0.08</v>
      </c>
      <c r="I19" s="1">
        <f>0*C19/100</f>
        <v>0</v>
      </c>
      <c r="J19" s="1">
        <f t="shared" ref="J19" si="4">0*C19/100</f>
        <v>0</v>
      </c>
      <c r="K19" s="1">
        <f>23*C19/100</f>
        <v>9.1999999999999993</v>
      </c>
      <c r="L19" s="1">
        <f>1.9*C19/100</f>
        <v>0.76</v>
      </c>
    </row>
    <row r="20" spans="1:12" x14ac:dyDescent="0.3">
      <c r="A20" s="1">
        <v>122</v>
      </c>
      <c r="B20" s="1" t="s">
        <v>36</v>
      </c>
      <c r="C20" s="1">
        <v>190</v>
      </c>
      <c r="D20" s="1">
        <f>0*C20/100</f>
        <v>0</v>
      </c>
      <c r="E20" s="1">
        <f>0*C20/100</f>
        <v>0</v>
      </c>
      <c r="F20" s="1">
        <f>9.8*C20/100</f>
        <v>18.62</v>
      </c>
      <c r="G20" s="1">
        <f>40*C20/100</f>
        <v>76</v>
      </c>
      <c r="H20" s="1">
        <f>0.3*C20/100</f>
        <v>0.56999999999999995</v>
      </c>
      <c r="I20" s="1">
        <f>0.3*C20/100</f>
        <v>0.56999999999999995</v>
      </c>
      <c r="J20" s="1">
        <f>15*C20/100</f>
        <v>28.5</v>
      </c>
      <c r="K20" s="1">
        <f>4.5*C20/100</f>
        <v>8.5500000000000007</v>
      </c>
      <c r="L20" s="1">
        <f>0*C20/100</f>
        <v>0</v>
      </c>
    </row>
    <row r="21" spans="1:12" x14ac:dyDescent="0.3">
      <c r="A21" s="1"/>
      <c r="B21" s="1"/>
      <c r="C21" s="3">
        <f>SUM(C15:C20)</f>
        <v>600</v>
      </c>
      <c r="D21" s="3">
        <f>SUM(D15:D20)</f>
        <v>18.857000000000003</v>
      </c>
      <c r="E21" s="3">
        <f t="shared" ref="E21:L21" si="5">SUM(E15:E20)</f>
        <v>21.284999999999997</v>
      </c>
      <c r="F21" s="3">
        <f t="shared" si="5"/>
        <v>91.225999999999999</v>
      </c>
      <c r="G21" s="3">
        <f t="shared" si="5"/>
        <v>630.0150000000001</v>
      </c>
      <c r="H21" s="3">
        <f t="shared" si="5"/>
        <v>0.77400000000000002</v>
      </c>
      <c r="I21" s="3">
        <f t="shared" si="5"/>
        <v>0.70799999999999996</v>
      </c>
      <c r="J21" s="3">
        <f t="shared" si="5"/>
        <v>39.344000000000001</v>
      </c>
      <c r="K21" s="3">
        <f t="shared" si="5"/>
        <v>53.58</v>
      </c>
      <c r="L21" s="3">
        <f t="shared" si="5"/>
        <v>2.7460000000000004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449</v>
      </c>
      <c r="B23" s="1" t="s">
        <v>56</v>
      </c>
      <c r="C23" s="1">
        <v>80</v>
      </c>
      <c r="D23" s="1">
        <f>3.45*C23/100</f>
        <v>2.76</v>
      </c>
      <c r="E23" s="1">
        <f>4.28*C23/100</f>
        <v>3.4240000000000004</v>
      </c>
      <c r="F23" s="1">
        <f>15.08*C23/100</f>
        <v>12.064</v>
      </c>
      <c r="G23" s="1">
        <f>152.94*C23/100</f>
        <v>122.352</v>
      </c>
      <c r="H23" s="1">
        <f>0.14*C23/100</f>
        <v>0.11200000000000002</v>
      </c>
      <c r="I23" s="1">
        <f>0.14*C23/100</f>
        <v>0.11200000000000002</v>
      </c>
      <c r="J23" s="1">
        <f>0.34*C23/100</f>
        <v>0.27200000000000002</v>
      </c>
      <c r="K23" s="1">
        <f>79.38*C23/100</f>
        <v>63.503999999999998</v>
      </c>
      <c r="L23" s="1">
        <f>1.22*C23/100</f>
        <v>0.97599999999999998</v>
      </c>
    </row>
    <row r="24" spans="1:12" x14ac:dyDescent="0.3">
      <c r="A24" s="1">
        <v>138</v>
      </c>
      <c r="B24" s="1" t="s">
        <v>16</v>
      </c>
      <c r="C24" s="1">
        <v>170</v>
      </c>
      <c r="D24" s="1">
        <f>1.56*C24/100</f>
        <v>2.6519999999999997</v>
      </c>
      <c r="E24" s="1">
        <f>1.52*C24/100</f>
        <v>2.5839999999999996</v>
      </c>
      <c r="F24" s="1">
        <f>8.25*C24/100</f>
        <v>14.025</v>
      </c>
      <c r="G24" s="1">
        <f>34.04*C24/100</f>
        <v>57.868000000000002</v>
      </c>
      <c r="H24" s="1">
        <f>0.01*C24/100</f>
        <v>1.7000000000000001E-2</v>
      </c>
      <c r="I24" s="1">
        <f>0.07*C24/100</f>
        <v>0.11900000000000001</v>
      </c>
      <c r="J24" s="1">
        <f>0.33*C24/100</f>
        <v>0.56100000000000005</v>
      </c>
      <c r="K24" s="1">
        <f>64.05*C24/100</f>
        <v>108.88500000000001</v>
      </c>
      <c r="L24" s="1">
        <f>0.32*C24/100</f>
        <v>0.54400000000000004</v>
      </c>
    </row>
    <row r="25" spans="1:12" x14ac:dyDescent="0.3">
      <c r="A25" s="1"/>
      <c r="B25" s="1"/>
      <c r="C25" s="3">
        <f>SUM(C23:C24)</f>
        <v>250</v>
      </c>
      <c r="D25" s="3">
        <f>SUM(D23:D24)</f>
        <v>5.411999999999999</v>
      </c>
      <c r="E25" s="3">
        <f t="shared" ref="E25:L25" si="6">SUM(E23:E24)</f>
        <v>6.008</v>
      </c>
      <c r="F25" s="3">
        <f t="shared" si="6"/>
        <v>26.088999999999999</v>
      </c>
      <c r="G25" s="3">
        <f t="shared" si="6"/>
        <v>180.22</v>
      </c>
      <c r="H25" s="3">
        <f t="shared" si="6"/>
        <v>0.129</v>
      </c>
      <c r="I25" s="3">
        <f t="shared" si="6"/>
        <v>0.23100000000000004</v>
      </c>
      <c r="J25" s="3">
        <f t="shared" si="6"/>
        <v>0.83300000000000007</v>
      </c>
      <c r="K25" s="3">
        <f t="shared" si="6"/>
        <v>172.38900000000001</v>
      </c>
      <c r="L25" s="3">
        <f t="shared" si="6"/>
        <v>1.52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 t="s">
        <v>17</v>
      </c>
      <c r="B27" s="1" t="s">
        <v>21</v>
      </c>
      <c r="C27" s="1">
        <v>20</v>
      </c>
      <c r="D27" s="1">
        <f>10.2*C27/100</f>
        <v>2.04</v>
      </c>
      <c r="E27" s="1">
        <f>17.1*C27/100</f>
        <v>3.42</v>
      </c>
      <c r="F27" s="1">
        <f>12.2*C27/100</f>
        <v>2.44</v>
      </c>
      <c r="G27" s="1">
        <f>225*C27/100</f>
        <v>45</v>
      </c>
      <c r="H27" s="1">
        <f>0.13*C27/100</f>
        <v>2.6000000000000002E-2</v>
      </c>
      <c r="I27" s="1">
        <f t="shared" ref="I27" si="7">0*C27/100</f>
        <v>0</v>
      </c>
      <c r="J27" s="1">
        <f t="shared" ref="J27" si="8">0*C27/100</f>
        <v>0</v>
      </c>
      <c r="K27" s="1">
        <f>20*C27/100</f>
        <v>4</v>
      </c>
      <c r="L27" s="1">
        <f>1.53*C27/100</f>
        <v>0.30599999999999999</v>
      </c>
    </row>
    <row r="28" spans="1:12" x14ac:dyDescent="0.3">
      <c r="A28" s="1" t="s">
        <v>17</v>
      </c>
      <c r="B28" s="1" t="s">
        <v>57</v>
      </c>
      <c r="C28" s="1">
        <v>130</v>
      </c>
      <c r="D28" s="1">
        <f>0.5*C28/100</f>
        <v>0.65</v>
      </c>
      <c r="E28" s="1">
        <f>0*C28/100</f>
        <v>0</v>
      </c>
      <c r="F28" s="1">
        <f>8.17*C28/100</f>
        <v>10.620999999999999</v>
      </c>
      <c r="G28" s="1">
        <f>35*C28/100</f>
        <v>45.5</v>
      </c>
      <c r="H28" s="1">
        <f>0.02*C28/100</f>
        <v>2.6000000000000002E-2</v>
      </c>
      <c r="I28" s="1">
        <f>0.04*C28/100</f>
        <v>5.2000000000000005E-2</v>
      </c>
      <c r="J28" s="1">
        <f>4*C28/100</f>
        <v>5.2</v>
      </c>
      <c r="K28" s="1">
        <f>12*C28/100</f>
        <v>15.6</v>
      </c>
      <c r="L28" s="1">
        <f>0.7*C28/100</f>
        <v>0.91</v>
      </c>
    </row>
    <row r="29" spans="1:12" x14ac:dyDescent="0.3">
      <c r="A29" s="1"/>
      <c r="B29" s="1"/>
      <c r="C29" s="3">
        <f>SUM(C27:C28)</f>
        <v>150</v>
      </c>
      <c r="D29" s="3">
        <f>SUM(D27:D28)</f>
        <v>2.69</v>
      </c>
      <c r="E29" s="3">
        <f t="shared" ref="E29:L29" si="9">SUM(E27:E28)</f>
        <v>3.42</v>
      </c>
      <c r="F29" s="3">
        <f t="shared" si="9"/>
        <v>13.060999999999998</v>
      </c>
      <c r="G29" s="3">
        <f t="shared" si="9"/>
        <v>90.5</v>
      </c>
      <c r="H29" s="3">
        <f t="shared" si="9"/>
        <v>5.2000000000000005E-2</v>
      </c>
      <c r="I29" s="3">
        <f t="shared" si="9"/>
        <v>5.2000000000000005E-2</v>
      </c>
      <c r="J29" s="3">
        <f t="shared" si="9"/>
        <v>5.2</v>
      </c>
      <c r="K29" s="3">
        <f t="shared" si="9"/>
        <v>19.600000000000001</v>
      </c>
      <c r="L29" s="3">
        <f t="shared" si="9"/>
        <v>1.216</v>
      </c>
    </row>
    <row r="30" spans="1:12" x14ac:dyDescent="0.3">
      <c r="A30" s="3"/>
      <c r="B30" s="3" t="s">
        <v>30</v>
      </c>
      <c r="C30" s="3"/>
      <c r="D30" s="3">
        <f>D9+D13+D21+D25+D29</f>
        <v>40.384999999999998</v>
      </c>
      <c r="E30" s="3">
        <f t="shared" ref="E30:L30" si="10">E9+E13+E21+E25+E29</f>
        <v>45.887</v>
      </c>
      <c r="F30" s="3">
        <f t="shared" si="10"/>
        <v>195.899</v>
      </c>
      <c r="G30" s="3">
        <f t="shared" si="10"/>
        <v>1350.9710000000002</v>
      </c>
      <c r="H30" s="3">
        <f t="shared" si="10"/>
        <v>1.0728</v>
      </c>
      <c r="I30" s="3">
        <f t="shared" si="10"/>
        <v>1.2</v>
      </c>
      <c r="J30" s="3">
        <f t="shared" si="10"/>
        <v>51.581000000000003</v>
      </c>
      <c r="K30" s="3">
        <f t="shared" si="10"/>
        <v>402.38900000000001</v>
      </c>
      <c r="L30" s="3">
        <f t="shared" si="10"/>
        <v>8.6419999999999995</v>
      </c>
    </row>
    <row r="31" spans="1:12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4" spans="2:2" x14ac:dyDescent="0.3">
      <c r="B34" t="s">
        <v>74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7" workbookViewId="0">
      <selection activeCell="O19" sqref="O19"/>
    </sheetView>
  </sheetViews>
  <sheetFormatPr defaultRowHeight="14.4" x14ac:dyDescent="0.3"/>
  <cols>
    <col min="1" max="1" width="4.109375" customWidth="1"/>
    <col min="2" max="2" width="22.6640625" customWidth="1"/>
    <col min="3" max="3" width="4.66406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219</v>
      </c>
      <c r="B5" s="1" t="s">
        <v>59</v>
      </c>
      <c r="C5" s="1">
        <v>150</v>
      </c>
      <c r="D5" s="1">
        <f>3.99*C5/100</f>
        <v>5.9850000000000003</v>
      </c>
      <c r="E5" s="1">
        <f>4.42*C5/100</f>
        <v>6.63</v>
      </c>
      <c r="F5" s="1">
        <f>11.62*C5/100</f>
        <v>17.429999999999996</v>
      </c>
      <c r="G5" s="1">
        <f>124.78*C5/100</f>
        <v>187.17</v>
      </c>
      <c r="H5" s="1">
        <f>0.06*C5/100</f>
        <v>0.09</v>
      </c>
      <c r="I5" s="1">
        <f>0.28*C5/100</f>
        <v>0.4200000000000001</v>
      </c>
      <c r="J5" s="1">
        <f>0.77*C5/100</f>
        <v>1.155</v>
      </c>
      <c r="K5" s="1">
        <f>74*C5/100</f>
        <v>111</v>
      </c>
      <c r="L5" s="1">
        <f>1.38*C5/100</f>
        <v>2.0699999999999998</v>
      </c>
    </row>
    <row r="6" spans="1:12" x14ac:dyDescent="0.3">
      <c r="A6" s="1">
        <v>6</v>
      </c>
      <c r="B6" s="1" t="s">
        <v>41</v>
      </c>
      <c r="C6" s="1">
        <v>50</v>
      </c>
      <c r="D6" s="1">
        <f>4.18*C6/100</f>
        <v>2.09</v>
      </c>
      <c r="E6" s="1">
        <f>4.94*C6/100</f>
        <v>2.4700000000000002</v>
      </c>
      <c r="F6" s="1">
        <f>34.11*C6/100</f>
        <v>17.055</v>
      </c>
      <c r="G6" s="1">
        <f>121*C6/100</f>
        <v>60.5</v>
      </c>
      <c r="H6" s="1">
        <f>0.17*C6/100</f>
        <v>8.5000000000000006E-2</v>
      </c>
      <c r="I6" s="1">
        <f>0.44*C6/100</f>
        <v>0.22</v>
      </c>
      <c r="J6" s="1">
        <f>0.33*C6/100</f>
        <v>0.16500000000000001</v>
      </c>
      <c r="K6" s="1">
        <f>215.99*C6/100</f>
        <v>107.995</v>
      </c>
      <c r="L6" s="1">
        <f>1.74*C6/100</f>
        <v>0.87</v>
      </c>
    </row>
    <row r="7" spans="1:12" x14ac:dyDescent="0.3">
      <c r="A7" s="1">
        <v>138</v>
      </c>
      <c r="B7" s="1" t="s">
        <v>16</v>
      </c>
      <c r="C7" s="1">
        <v>200</v>
      </c>
      <c r="D7" s="1">
        <f>1.36*C7/100</f>
        <v>2.72</v>
      </c>
      <c r="E7" s="1">
        <f>1.52*C7/100</f>
        <v>3.04</v>
      </c>
      <c r="F7" s="1">
        <f>8.85*C7/100</f>
        <v>17.7</v>
      </c>
      <c r="G7" s="1">
        <f>56.34*C7/100</f>
        <v>112.68</v>
      </c>
      <c r="H7" s="1">
        <f>0.01*C7/100</f>
        <v>0.02</v>
      </c>
      <c r="I7" s="1">
        <f>0.07*C7/100</f>
        <v>0.14000000000000001</v>
      </c>
      <c r="J7" s="1">
        <f>0.33*C7/100</f>
        <v>0.66</v>
      </c>
      <c r="K7" s="1">
        <f>64.05*C7/100</f>
        <v>128.1</v>
      </c>
      <c r="L7" s="1">
        <f>0.32*C7/100</f>
        <v>0.64</v>
      </c>
    </row>
    <row r="8" spans="1:12" ht="15" hidden="1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 t="shared" ref="J8" si="0"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>SUM(C5:C8)</f>
        <v>400</v>
      </c>
      <c r="D9" s="3">
        <f>SUM(D5:D8)</f>
        <v>10.795</v>
      </c>
      <c r="E9" s="3">
        <f>SUM(E5:E8)</f>
        <v>12.14</v>
      </c>
      <c r="F9" s="3">
        <f>SUM(F5:F8)</f>
        <v>52.185000000000002</v>
      </c>
      <c r="G9" s="3">
        <f>SUM(G5:G8)</f>
        <v>360.35</v>
      </c>
      <c r="H9" s="3">
        <f>SUM(H5:H8)</f>
        <v>0.19499999999999998</v>
      </c>
      <c r="I9" s="3">
        <f>SUM(I5:I8)</f>
        <v>0.78000000000000014</v>
      </c>
      <c r="J9" s="3">
        <f>SUM(J5:J8)</f>
        <v>1.98</v>
      </c>
      <c r="K9" s="3">
        <f>SUM(K5:K8)</f>
        <v>347.09500000000003</v>
      </c>
      <c r="L9" s="3">
        <f>SUM(L5:L8)</f>
        <v>3.58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85</v>
      </c>
      <c r="D11" s="1">
        <f>0.5*C11/100</f>
        <v>0.42499999999999999</v>
      </c>
      <c r="E11" s="1">
        <f>0.1*C11/100</f>
        <v>8.5000000000000006E-2</v>
      </c>
      <c r="F11" s="1">
        <f>8.1*C11/100</f>
        <v>6.8849999999999998</v>
      </c>
      <c r="G11" s="1">
        <f>46*C11/100</f>
        <v>39.1</v>
      </c>
      <c r="H11" s="1">
        <f>0.01*C11/100</f>
        <v>8.5000000000000006E-3</v>
      </c>
      <c r="I11" s="1">
        <f>0.01*C11/100</f>
        <v>8.5000000000000006E-3</v>
      </c>
      <c r="J11" s="1">
        <f>2*C11/100</f>
        <v>1.7</v>
      </c>
      <c r="K11" s="1">
        <f>7*C11/100</f>
        <v>5.95</v>
      </c>
      <c r="L11" s="1">
        <f>1.4*C11/100</f>
        <v>1.19</v>
      </c>
    </row>
    <row r="12" spans="1:12" x14ac:dyDescent="0.3">
      <c r="A12" s="1" t="s">
        <v>17</v>
      </c>
      <c r="B12" s="1" t="s">
        <v>21</v>
      </c>
      <c r="C12" s="1">
        <v>18</v>
      </c>
      <c r="D12" s="1">
        <f>11.4*C12/100</f>
        <v>2.052</v>
      </c>
      <c r="E12" s="1">
        <f>15.12*C12/100</f>
        <v>2.7215999999999996</v>
      </c>
      <c r="F12" s="1">
        <f>35.75*C12/100</f>
        <v>6.4349999999999996</v>
      </c>
      <c r="G12" s="1">
        <f>283.02*C12/100</f>
        <v>50.943599999999996</v>
      </c>
      <c r="H12" s="1">
        <f>0.13*C12/100</f>
        <v>2.3399999999999997E-2</v>
      </c>
      <c r="I12" s="1">
        <f t="shared" ref="I12" si="1">0*C12/100</f>
        <v>0</v>
      </c>
      <c r="J12" s="1">
        <f t="shared" ref="J12" si="2">0*C12/100</f>
        <v>0</v>
      </c>
      <c r="K12" s="1">
        <f>20*C12/100</f>
        <v>3.6</v>
      </c>
      <c r="L12" s="1">
        <f>1.53*C12/100</f>
        <v>0.27539999999999998</v>
      </c>
    </row>
    <row r="13" spans="1:12" x14ac:dyDescent="0.3">
      <c r="A13" s="1"/>
      <c r="B13" s="1"/>
      <c r="C13" s="3">
        <f>SUM(C11:C12)</f>
        <v>103</v>
      </c>
      <c r="D13" s="3">
        <f>SUM(D11:D12)</f>
        <v>2.4769999999999999</v>
      </c>
      <c r="E13" s="3">
        <f t="shared" ref="E13:L13" si="3">SUM(E11:E12)</f>
        <v>2.8065999999999995</v>
      </c>
      <c r="F13" s="3">
        <f t="shared" si="3"/>
        <v>13.32</v>
      </c>
      <c r="G13" s="3">
        <f t="shared" si="3"/>
        <v>90.043599999999998</v>
      </c>
      <c r="H13" s="3">
        <f t="shared" si="3"/>
        <v>3.1899999999999998E-2</v>
      </c>
      <c r="I13" s="3">
        <f t="shared" si="3"/>
        <v>8.5000000000000006E-3</v>
      </c>
      <c r="J13" s="3">
        <f t="shared" si="3"/>
        <v>1.7</v>
      </c>
      <c r="K13" s="3">
        <f t="shared" si="3"/>
        <v>9.5500000000000007</v>
      </c>
      <c r="L13" s="3">
        <f t="shared" si="3"/>
        <v>1.4653999999999998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44</v>
      </c>
      <c r="B15" s="1" t="s">
        <v>33</v>
      </c>
      <c r="C15" s="1">
        <v>200</v>
      </c>
      <c r="D15" s="1">
        <f>4.07*C15/100</f>
        <v>8.14</v>
      </c>
      <c r="E15" s="1">
        <f>1.04*C15/100</f>
        <v>2.08</v>
      </c>
      <c r="F15" s="1">
        <f>6.66*C15/100</f>
        <v>13.32</v>
      </c>
      <c r="G15" s="1">
        <f>60.34*C15/100</f>
        <v>120.68</v>
      </c>
      <c r="H15" s="1">
        <f>0.04*C15/100</f>
        <v>0.08</v>
      </c>
      <c r="I15" s="1">
        <f>0.04*C15/100</f>
        <v>0.08</v>
      </c>
      <c r="J15" s="1">
        <f>3.21*C15/100</f>
        <v>6.42</v>
      </c>
      <c r="K15" s="1">
        <f>43.17*C15/100</f>
        <v>86.34</v>
      </c>
      <c r="L15" s="1">
        <f>0.52*C15/100</f>
        <v>1.04</v>
      </c>
    </row>
    <row r="16" spans="1:12" x14ac:dyDescent="0.3">
      <c r="A16" s="1">
        <v>59</v>
      </c>
      <c r="B16" s="1" t="s">
        <v>81</v>
      </c>
      <c r="C16" s="1">
        <v>70</v>
      </c>
      <c r="D16" s="1">
        <f>6.22*C16/100</f>
        <v>4.3540000000000001</v>
      </c>
      <c r="E16" s="1">
        <f>27.01*C16/100</f>
        <v>18.907</v>
      </c>
      <c r="F16" s="1">
        <f>41.52*C16/100</f>
        <v>29.064</v>
      </c>
      <c r="G16" s="1">
        <f>402.23*C16/100</f>
        <v>281.56100000000004</v>
      </c>
      <c r="H16" s="1">
        <f>0.1*C16/100</f>
        <v>7.0000000000000007E-2</v>
      </c>
      <c r="I16" s="1">
        <f>0.17*C16/100</f>
        <v>0.11900000000000001</v>
      </c>
      <c r="J16" s="1">
        <f>0.15*C16/100</f>
        <v>0.105</v>
      </c>
      <c r="K16" s="1">
        <f>43.5*C16/100</f>
        <v>30.45</v>
      </c>
      <c r="L16" s="1">
        <f>1.5*C16/100</f>
        <v>1.05</v>
      </c>
    </row>
    <row r="17" spans="1:12" ht="21.6" x14ac:dyDescent="0.3">
      <c r="A17" s="1">
        <v>128</v>
      </c>
      <c r="B17" s="2" t="s">
        <v>82</v>
      </c>
      <c r="C17" s="1">
        <v>80</v>
      </c>
      <c r="D17" s="1">
        <f>2.8*C17/100</f>
        <v>2.2400000000000002</v>
      </c>
      <c r="E17" s="1">
        <f>0*C17/100</f>
        <v>0</v>
      </c>
      <c r="F17" s="1">
        <f>3.78*C17/100</f>
        <v>3.0239999999999996</v>
      </c>
      <c r="G17" s="1">
        <f>45.12*C17/100</f>
        <v>36.095999999999997</v>
      </c>
      <c r="H17" s="1">
        <f>0*C17/100</f>
        <v>0</v>
      </c>
      <c r="I17" s="1">
        <f>0*C17/100</f>
        <v>0</v>
      </c>
      <c r="J17" s="1">
        <f>0*C17/100</f>
        <v>0</v>
      </c>
      <c r="K17" s="1">
        <f>25*C17/100</f>
        <v>20</v>
      </c>
      <c r="L17" s="1">
        <f>1.2*C17/100</f>
        <v>0.96</v>
      </c>
    </row>
    <row r="18" spans="1:12" x14ac:dyDescent="0.3">
      <c r="A18" s="1" t="s">
        <v>17</v>
      </c>
      <c r="B18" s="2" t="s">
        <v>24</v>
      </c>
      <c r="C18" s="1">
        <v>40</v>
      </c>
      <c r="D18" s="1">
        <f>7.9*C18/100</f>
        <v>3.16</v>
      </c>
      <c r="E18" s="1">
        <f>1*C18/100</f>
        <v>0.4</v>
      </c>
      <c r="F18" s="1">
        <f>48.3*C18/100</f>
        <v>19.32</v>
      </c>
      <c r="G18" s="1">
        <f>211.3*C18/100</f>
        <v>84.52</v>
      </c>
      <c r="H18" s="1">
        <f>0.2*C18/100</f>
        <v>0.08</v>
      </c>
      <c r="I18" s="1">
        <f>0*C18/100</f>
        <v>0</v>
      </c>
      <c r="J18" s="1">
        <f t="shared" ref="J18" si="4">0*C18/100</f>
        <v>0</v>
      </c>
      <c r="K18" s="1">
        <f>23*C18/100</f>
        <v>9.1999999999999993</v>
      </c>
      <c r="L18" s="1">
        <f>1.9*C18/100</f>
        <v>0.76</v>
      </c>
    </row>
    <row r="19" spans="1:12" x14ac:dyDescent="0.3">
      <c r="A19" s="1">
        <v>126</v>
      </c>
      <c r="B19" s="1" t="s">
        <v>46</v>
      </c>
      <c r="C19" s="1">
        <v>200</v>
      </c>
      <c r="D19" s="1">
        <f>0.52*C19/100</f>
        <v>1.04</v>
      </c>
      <c r="E19" s="1">
        <f>0*C19/100</f>
        <v>0</v>
      </c>
      <c r="F19" s="1">
        <f>13.48*C19/100</f>
        <v>26.96</v>
      </c>
      <c r="G19" s="1">
        <f>53.72*C19/100</f>
        <v>107.44</v>
      </c>
      <c r="H19" s="1">
        <f>0.01*C19/100</f>
        <v>0.02</v>
      </c>
      <c r="I19" s="1">
        <f>0.02*C19/100</f>
        <v>0.04</v>
      </c>
      <c r="J19" s="1">
        <f>0.4*C19/100</f>
        <v>0.8</v>
      </c>
      <c r="K19" s="1">
        <f>20.57*C19/100</f>
        <v>41.14</v>
      </c>
      <c r="L19" s="1">
        <f>0.34*C19/100</f>
        <v>0.68</v>
      </c>
    </row>
    <row r="20" spans="1:12" x14ac:dyDescent="0.3">
      <c r="A20" s="1"/>
      <c r="B20" s="1"/>
      <c r="C20" s="3">
        <f>SUM(C15:C19)</f>
        <v>590</v>
      </c>
      <c r="D20" s="3">
        <f>SUM(D15:D19)</f>
        <v>18.933999999999997</v>
      </c>
      <c r="E20" s="3">
        <f>SUM(E15:E19)</f>
        <v>21.387</v>
      </c>
      <c r="F20" s="3">
        <f>SUM(F15:F19)</f>
        <v>91.688000000000017</v>
      </c>
      <c r="G20" s="3">
        <f>SUM(G15:G19)</f>
        <v>630.29700000000003</v>
      </c>
      <c r="H20" s="3">
        <f>SUM(H15:H19)</f>
        <v>0.25000000000000006</v>
      </c>
      <c r="I20" s="3">
        <f>SUM(I15:I19)</f>
        <v>0.23900000000000002</v>
      </c>
      <c r="J20" s="3">
        <f>SUM(J15:J19)</f>
        <v>7.3250000000000002</v>
      </c>
      <c r="K20" s="3">
        <f>SUM(K15:K19)</f>
        <v>187.13</v>
      </c>
      <c r="L20" s="3">
        <f>SUM(L15:L19)</f>
        <v>4.4899999999999993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484</v>
      </c>
      <c r="B22" s="1" t="s">
        <v>61</v>
      </c>
      <c r="C22" s="1">
        <v>60</v>
      </c>
      <c r="D22" s="1">
        <f>7.97*C22/100</f>
        <v>4.782</v>
      </c>
      <c r="E22" s="1">
        <f>10.55*C22/100</f>
        <v>6.33</v>
      </c>
      <c r="F22" s="1">
        <f>16.37*C22/100</f>
        <v>9.822000000000001</v>
      </c>
      <c r="G22" s="1">
        <f>190.07*C22/100</f>
        <v>114.04199999999999</v>
      </c>
      <c r="H22" s="1">
        <f>0.17*C22/100</f>
        <v>0.10200000000000001</v>
      </c>
      <c r="I22" s="1">
        <f>0.28*C22/100</f>
        <v>0.16800000000000001</v>
      </c>
      <c r="J22" s="1">
        <f>0.63*C22/100</f>
        <v>0.37799999999999995</v>
      </c>
      <c r="K22" s="1">
        <f>160.5*C22/100</f>
        <v>96.3</v>
      </c>
      <c r="L22" s="1">
        <f>1.52*C22/100</f>
        <v>0.91200000000000003</v>
      </c>
    </row>
    <row r="23" spans="1:12" x14ac:dyDescent="0.3">
      <c r="A23" s="1">
        <v>127</v>
      </c>
      <c r="B23" s="1" t="s">
        <v>26</v>
      </c>
      <c r="C23" s="1">
        <v>190</v>
      </c>
      <c r="D23" s="1">
        <f>0.3*C23/100</f>
        <v>0.56999999999999995</v>
      </c>
      <c r="E23" s="1">
        <f>0.04*C23/100</f>
        <v>7.6000000000000012E-2</v>
      </c>
      <c r="F23" s="1">
        <f>8.62*C23/100</f>
        <v>16.378</v>
      </c>
      <c r="G23" s="1">
        <f>34.72*C23/100</f>
        <v>65.968000000000004</v>
      </c>
      <c r="H23" s="1">
        <f>0.003*C23/100</f>
        <v>5.7000000000000002E-3</v>
      </c>
      <c r="I23" s="1">
        <f>0.004*C23/100</f>
        <v>7.6E-3</v>
      </c>
      <c r="J23" s="1">
        <f>20*C23/100</f>
        <v>38</v>
      </c>
      <c r="K23" s="1">
        <f>3.76*C23/100</f>
        <v>7.1440000000000001</v>
      </c>
      <c r="L23" s="1">
        <f>0.15*C23/100</f>
        <v>0.28499999999999998</v>
      </c>
    </row>
    <row r="24" spans="1:12" x14ac:dyDescent="0.3">
      <c r="A24" s="1"/>
      <c r="B24" s="1"/>
      <c r="C24" s="3">
        <f>SUM(C22:C23)</f>
        <v>250</v>
      </c>
      <c r="D24" s="3">
        <f>SUM(D22:D23)</f>
        <v>5.3520000000000003</v>
      </c>
      <c r="E24" s="3">
        <f t="shared" ref="E24:L24" si="5">SUM(E22:E23)</f>
        <v>6.4059999999999997</v>
      </c>
      <c r="F24" s="3">
        <f t="shared" si="5"/>
        <v>26.200000000000003</v>
      </c>
      <c r="G24" s="3">
        <f t="shared" si="5"/>
        <v>180.01</v>
      </c>
      <c r="H24" s="3">
        <f t="shared" si="5"/>
        <v>0.1077</v>
      </c>
      <c r="I24" s="3">
        <f t="shared" si="5"/>
        <v>0.17560000000000001</v>
      </c>
      <c r="J24" s="3">
        <f t="shared" si="5"/>
        <v>38.378</v>
      </c>
      <c r="K24" s="3">
        <f t="shared" si="5"/>
        <v>103.444</v>
      </c>
      <c r="L24" s="3">
        <f t="shared" si="5"/>
        <v>1.1970000000000001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 t="s">
        <v>17</v>
      </c>
      <c r="B26" s="1" t="s">
        <v>62</v>
      </c>
      <c r="C26" s="1">
        <v>150</v>
      </c>
      <c r="D26" s="1">
        <f>1.77*C26/100</f>
        <v>2.6549999999999998</v>
      </c>
      <c r="E26" s="1">
        <f>1.92*C26/100</f>
        <v>2.88</v>
      </c>
      <c r="F26" s="1">
        <f>8.89*C26/100</f>
        <v>13.335000000000001</v>
      </c>
      <c r="G26" s="1">
        <f>60.05*C26/100</f>
        <v>90.075000000000003</v>
      </c>
      <c r="H26" s="1">
        <f>0.04*C26/100</f>
        <v>0.06</v>
      </c>
      <c r="I26" s="1">
        <f>0.17*C26/100</f>
        <v>0.25500000000000006</v>
      </c>
      <c r="J26" s="1">
        <f>0.7*C26/100</f>
        <v>1.05</v>
      </c>
      <c r="K26" s="1">
        <f>126*C26/100</f>
        <v>189</v>
      </c>
      <c r="L26" s="1">
        <f>0.1*C26/100</f>
        <v>0.15</v>
      </c>
    </row>
    <row r="27" spans="1:12" x14ac:dyDescent="0.3">
      <c r="A27" s="1"/>
      <c r="B27" s="1"/>
      <c r="C27" s="3">
        <f>SUM(C26:C26)</f>
        <v>150</v>
      </c>
      <c r="D27" s="3">
        <f>SUM(D26:D26)</f>
        <v>2.6549999999999998</v>
      </c>
      <c r="E27" s="3">
        <f>SUM(E26:E26)</f>
        <v>2.88</v>
      </c>
      <c r="F27" s="3">
        <f>SUM(F26:F26)</f>
        <v>13.335000000000001</v>
      </c>
      <c r="G27" s="3">
        <f>SUM(G26:G26)</f>
        <v>90.075000000000003</v>
      </c>
      <c r="H27" s="3">
        <f>SUM(H26:H26)</f>
        <v>0.06</v>
      </c>
      <c r="I27" s="3">
        <f>SUM(I26:I26)</f>
        <v>0.25500000000000006</v>
      </c>
      <c r="J27" s="3">
        <f>SUM(J26:J26)</f>
        <v>1.05</v>
      </c>
      <c r="K27" s="3">
        <f>SUM(K26:K26)</f>
        <v>189</v>
      </c>
      <c r="L27" s="3">
        <f>SUM(L26:L26)</f>
        <v>0.15</v>
      </c>
    </row>
    <row r="28" spans="1:12" x14ac:dyDescent="0.3">
      <c r="A28" s="3"/>
      <c r="B28" s="3" t="s">
        <v>30</v>
      </c>
      <c r="C28" s="3"/>
      <c r="D28" s="3">
        <f>D9+D13+D20+D24+D27</f>
        <v>40.212999999999994</v>
      </c>
      <c r="E28" s="3">
        <f>E9+E13+E20+E24+E27</f>
        <v>45.619600000000005</v>
      </c>
      <c r="F28" s="3">
        <f>F9+F13+F20+F24+F27</f>
        <v>196.72800000000004</v>
      </c>
      <c r="G28" s="3">
        <f>G9+G13+G20+G24+G27</f>
        <v>1350.7755999999999</v>
      </c>
      <c r="H28" s="3">
        <f>H9+H13+H20+H24+H27</f>
        <v>0.64460000000000006</v>
      </c>
      <c r="I28" s="3">
        <f>I9+I13+I20+I24+I27</f>
        <v>1.4581000000000002</v>
      </c>
      <c r="J28" s="3">
        <f>J9+J13+J20+J24+J27</f>
        <v>50.432999999999993</v>
      </c>
      <c r="K28" s="3">
        <f>K9+K13+K20+K24+K27</f>
        <v>836.21900000000005</v>
      </c>
      <c r="L28" s="3">
        <f>L9+L13+L20+L24+L27</f>
        <v>10.882399999999999</v>
      </c>
    </row>
    <row r="29" spans="1:12" ht="15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workbookViewId="0">
      <selection activeCell="O17" sqref="O17"/>
    </sheetView>
  </sheetViews>
  <sheetFormatPr defaultRowHeight="14.4" x14ac:dyDescent="0.3"/>
  <cols>
    <col min="1" max="1" width="5.109375" customWidth="1"/>
    <col min="2" max="2" width="24.88671875" customWidth="1"/>
  </cols>
  <sheetData>
    <row r="1" spans="1:12" x14ac:dyDescent="0.3">
      <c r="A1" s="3" t="s">
        <v>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38</v>
      </c>
      <c r="B5" s="1" t="s">
        <v>83</v>
      </c>
      <c r="C5" s="1">
        <v>160</v>
      </c>
      <c r="D5" s="1">
        <f>5.27*C5/150</f>
        <v>5.6213333333333333</v>
      </c>
      <c r="E5" s="1">
        <f>4.71*C5/150</f>
        <v>5.024</v>
      </c>
      <c r="F5" s="1">
        <f>11.63*C5/150</f>
        <v>12.405333333333335</v>
      </c>
      <c r="G5" s="1">
        <f>162.58*C5/150</f>
        <v>173.4186666666667</v>
      </c>
      <c r="H5" s="1">
        <f>0.14*C5/100</f>
        <v>0.22400000000000003</v>
      </c>
      <c r="I5" s="1">
        <f>0.07*C5/100</f>
        <v>0.11200000000000002</v>
      </c>
      <c r="J5" s="1">
        <f>0*C5/100</f>
        <v>0</v>
      </c>
      <c r="K5" s="1">
        <f>9.49*C5/100</f>
        <v>15.184000000000001</v>
      </c>
      <c r="L5" s="1">
        <f>3.03*C5/100</f>
        <v>4.8479999999999999</v>
      </c>
    </row>
    <row r="6" spans="1:12" x14ac:dyDescent="0.3">
      <c r="A6" s="1">
        <v>1</v>
      </c>
      <c r="B6" s="1" t="s">
        <v>15</v>
      </c>
      <c r="C6" s="1">
        <v>40</v>
      </c>
      <c r="D6" s="1">
        <f>5.1*C6/100</f>
        <v>2.04</v>
      </c>
      <c r="E6" s="1">
        <f>10.2*C6/100</f>
        <v>4.08</v>
      </c>
      <c r="F6" s="1">
        <f>29.75*C6/100</f>
        <v>11.9</v>
      </c>
      <c r="G6" s="1">
        <f>195*C6/100</f>
        <v>78</v>
      </c>
      <c r="H6" s="1">
        <f>0.12*C6/100</f>
        <v>4.8000000000000001E-2</v>
      </c>
      <c r="I6" s="1">
        <f>0.08*C6/100</f>
        <v>3.2000000000000001E-2</v>
      </c>
      <c r="J6" s="1">
        <f t="shared" ref="J6" si="0">0*C6/100</f>
        <v>0</v>
      </c>
      <c r="K6" s="1">
        <f>23.25*C6/100</f>
        <v>9.3000000000000007</v>
      </c>
      <c r="L6" s="1">
        <f>1.55*C6/100</f>
        <v>0.62</v>
      </c>
    </row>
    <row r="7" spans="1:12" x14ac:dyDescent="0.3">
      <c r="A7" s="1">
        <v>138</v>
      </c>
      <c r="B7" s="1" t="s">
        <v>16</v>
      </c>
      <c r="C7" s="1">
        <v>200</v>
      </c>
      <c r="D7" s="1">
        <f>1.56*C7/100</f>
        <v>3.12</v>
      </c>
      <c r="E7" s="1">
        <f>1.62*C7/100</f>
        <v>3.24</v>
      </c>
      <c r="F7" s="1">
        <f>13.95*C7/100</f>
        <v>27.9</v>
      </c>
      <c r="G7" s="1">
        <f>54.34*C7/100</f>
        <v>108.68</v>
      </c>
      <c r="H7" s="1">
        <f>0.01*C7/100</f>
        <v>0.02</v>
      </c>
      <c r="I7" s="1">
        <f>0.07*C7/100</f>
        <v>0.14000000000000001</v>
      </c>
      <c r="J7" s="1">
        <f>0.33*C7/100</f>
        <v>0.66</v>
      </c>
      <c r="K7" s="1">
        <f>64.05*C7/100</f>
        <v>128.1</v>
      </c>
      <c r="L7" s="1">
        <f>0.32*C7/100</f>
        <v>0.64</v>
      </c>
    </row>
    <row r="8" spans="1:12" ht="15" hidden="1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 t="shared" ref="J8" si="1"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>SUM(C5:C8)</f>
        <v>400</v>
      </c>
      <c r="D9" s="3">
        <f>SUM(D5:D8)</f>
        <v>10.781333333333333</v>
      </c>
      <c r="E9" s="3">
        <f>SUM(E5:E8)</f>
        <v>12.343999999999999</v>
      </c>
      <c r="F9" s="3">
        <f>SUM(F5:F8)</f>
        <v>52.205333333333336</v>
      </c>
      <c r="G9" s="3">
        <f>SUM(G5:G8)</f>
        <v>360.0986666666667</v>
      </c>
      <c r="H9" s="3">
        <f>SUM(H5:H8)</f>
        <v>0.29200000000000004</v>
      </c>
      <c r="I9" s="3">
        <f>SUM(I5:I8)</f>
        <v>0.28400000000000003</v>
      </c>
      <c r="J9" s="3">
        <f>SUM(J5:J8)</f>
        <v>0.66</v>
      </c>
      <c r="K9" s="3">
        <f>SUM(K5:K8)</f>
        <v>152.584</v>
      </c>
      <c r="L9" s="3">
        <f>SUM(L5:L8)</f>
        <v>6.1079999999999997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120</v>
      </c>
      <c r="D11" s="1">
        <f>0.5*C11/100</f>
        <v>0.6</v>
      </c>
      <c r="E11" s="1">
        <f>0.1*C11/100</f>
        <v>0.12</v>
      </c>
      <c r="F11" s="1">
        <f>5.96*C11/100</f>
        <v>7.1520000000000001</v>
      </c>
      <c r="G11" s="1">
        <f>33*C11/100</f>
        <v>39.6</v>
      </c>
      <c r="H11" s="1">
        <f>0.01*C11/100</f>
        <v>1.2E-2</v>
      </c>
      <c r="I11" s="1">
        <f>0.01*C11/100</f>
        <v>1.2E-2</v>
      </c>
      <c r="J11" s="1">
        <f>2*C11/100</f>
        <v>2.4</v>
      </c>
      <c r="K11" s="1">
        <f>7*C11/100</f>
        <v>8.4</v>
      </c>
      <c r="L11" s="1">
        <f>1.4*C11/100</f>
        <v>1.68</v>
      </c>
    </row>
    <row r="12" spans="1:12" x14ac:dyDescent="0.3">
      <c r="A12" s="1" t="s">
        <v>17</v>
      </c>
      <c r="B12" s="1" t="s">
        <v>18</v>
      </c>
      <c r="C12" s="1">
        <v>17</v>
      </c>
      <c r="D12" s="1">
        <f>10.92*C12/100</f>
        <v>1.8563999999999998</v>
      </c>
      <c r="E12" s="1">
        <f>17.17*C12/100</f>
        <v>2.9189000000000003</v>
      </c>
      <c r="F12" s="1">
        <f>34.92*C12/100</f>
        <v>5.9363999999999999</v>
      </c>
      <c r="G12" s="1">
        <f>296.65*C12/100</f>
        <v>50.430499999999995</v>
      </c>
      <c r="H12" s="1">
        <f>0.33*C12/100</f>
        <v>5.6100000000000004E-2</v>
      </c>
      <c r="I12" s="1">
        <f>0*C12/100</f>
        <v>0</v>
      </c>
      <c r="J12" s="1">
        <f>0*C12/100</f>
        <v>0</v>
      </c>
      <c r="K12" s="1">
        <f>186.67*C12/100</f>
        <v>31.733899999999998</v>
      </c>
      <c r="L12" s="1">
        <f>1.83*C12/100</f>
        <v>0.31109999999999999</v>
      </c>
    </row>
    <row r="13" spans="1:12" x14ac:dyDescent="0.3">
      <c r="A13" s="1"/>
      <c r="B13" s="1"/>
      <c r="C13" s="3">
        <f>SUM(C11:C12)</f>
        <v>137</v>
      </c>
      <c r="D13" s="3">
        <f>SUM(D11:D12)</f>
        <v>2.4563999999999999</v>
      </c>
      <c r="E13" s="3">
        <f t="shared" ref="E13:L13" si="2">SUM(E11:E12)</f>
        <v>3.0389000000000004</v>
      </c>
      <c r="F13" s="3">
        <f t="shared" si="2"/>
        <v>13.0884</v>
      </c>
      <c r="G13" s="3">
        <f t="shared" si="2"/>
        <v>90.030499999999989</v>
      </c>
      <c r="H13" s="3">
        <f t="shared" si="2"/>
        <v>6.8100000000000008E-2</v>
      </c>
      <c r="I13" s="3">
        <f t="shared" si="2"/>
        <v>1.2E-2</v>
      </c>
      <c r="J13" s="3">
        <f t="shared" si="2"/>
        <v>2.4</v>
      </c>
      <c r="K13" s="3">
        <f t="shared" si="2"/>
        <v>40.133899999999997</v>
      </c>
      <c r="L13" s="3">
        <f t="shared" si="2"/>
        <v>1.9910999999999999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1.6" x14ac:dyDescent="0.3">
      <c r="A15" s="1">
        <v>113</v>
      </c>
      <c r="B15" s="2" t="s">
        <v>65</v>
      </c>
      <c r="C15" s="1">
        <v>200</v>
      </c>
      <c r="D15" s="1">
        <f>2.9*C15/100</f>
        <v>5.8</v>
      </c>
      <c r="E15" s="1">
        <f>2.05*C15/100</f>
        <v>4.0999999999999996</v>
      </c>
      <c r="F15" s="1">
        <f>6.5*C15/100</f>
        <v>13</v>
      </c>
      <c r="G15" s="1">
        <f>57*C15/100</f>
        <v>114</v>
      </c>
      <c r="H15" s="1">
        <f>0.04*C15/100</f>
        <v>0.08</v>
      </c>
      <c r="I15" s="1">
        <f>0.04*C15/100</f>
        <v>0.08</v>
      </c>
      <c r="J15" s="1">
        <f>3.21*C15/100</f>
        <v>6.42</v>
      </c>
      <c r="K15" s="1">
        <f>43.17*C15/100</f>
        <v>86.34</v>
      </c>
      <c r="L15" s="1">
        <f>0.52*C15/100</f>
        <v>1.04</v>
      </c>
    </row>
    <row r="16" spans="1:12" ht="21.6" x14ac:dyDescent="0.3">
      <c r="A16" s="1">
        <v>88</v>
      </c>
      <c r="B16" s="2" t="s">
        <v>84</v>
      </c>
      <c r="C16" s="1">
        <v>80</v>
      </c>
      <c r="D16" s="1">
        <f>10.84*C16/100</f>
        <v>8.6720000000000006</v>
      </c>
      <c r="E16" s="1">
        <f>18.03*C16/100</f>
        <v>14.424000000000001</v>
      </c>
      <c r="F16" s="1">
        <f>43.97*C16/100</f>
        <v>35.176000000000002</v>
      </c>
      <c r="G16" s="1">
        <f>363.05*C16/100</f>
        <v>290.44</v>
      </c>
      <c r="H16" s="1">
        <f>0.07*C16/100</f>
        <v>5.6000000000000008E-2</v>
      </c>
      <c r="I16" s="1">
        <f>0.08*C16/100</f>
        <v>6.4000000000000001E-2</v>
      </c>
      <c r="J16" s="1">
        <f>3.94*C16/100</f>
        <v>3.1519999999999997</v>
      </c>
      <c r="K16" s="1">
        <f>17.49*C16/100</f>
        <v>13.991999999999997</v>
      </c>
      <c r="L16" s="1">
        <f>1.52*C16/100</f>
        <v>1.216</v>
      </c>
    </row>
    <row r="17" spans="1:12" x14ac:dyDescent="0.3">
      <c r="A17" s="1" t="s">
        <v>17</v>
      </c>
      <c r="B17" s="1" t="s">
        <v>24</v>
      </c>
      <c r="C17" s="1">
        <v>40</v>
      </c>
      <c r="D17" s="1">
        <f>7.9*C17/100</f>
        <v>3.16</v>
      </c>
      <c r="E17" s="1">
        <f>1*C17/100</f>
        <v>0.4</v>
      </c>
      <c r="F17" s="1">
        <f>48.3*C17/100</f>
        <v>19.32</v>
      </c>
      <c r="G17" s="1">
        <f>202.6*C17/100</f>
        <v>81.040000000000006</v>
      </c>
      <c r="H17" s="1">
        <f>0.2*C17/100</f>
        <v>0.08</v>
      </c>
      <c r="I17" s="1">
        <f>0*C17/100</f>
        <v>0</v>
      </c>
      <c r="J17" s="1">
        <f t="shared" ref="J17:J18" si="3">0*C17/100</f>
        <v>0</v>
      </c>
      <c r="K17" s="1">
        <f>23*C17/100</f>
        <v>9.1999999999999993</v>
      </c>
      <c r="L17" s="1">
        <f>1.9*C17/100</f>
        <v>0.76</v>
      </c>
    </row>
    <row r="18" spans="1:12" x14ac:dyDescent="0.3">
      <c r="A18" s="1">
        <v>189</v>
      </c>
      <c r="B18" s="1" t="s">
        <v>85</v>
      </c>
      <c r="C18" s="1">
        <v>80</v>
      </c>
      <c r="D18" s="1">
        <f>0.88*C18/100</f>
        <v>0.70400000000000007</v>
      </c>
      <c r="E18" s="1">
        <f>2.24*C18/100</f>
        <v>1.7920000000000003</v>
      </c>
      <c r="F18" s="1">
        <f>8.12*C18/100</f>
        <v>6.4959999999999987</v>
      </c>
      <c r="G18" s="1">
        <f>94.4*C18/100</f>
        <v>75.52</v>
      </c>
      <c r="H18" s="1">
        <f>0.8*C18/100</f>
        <v>0.64</v>
      </c>
      <c r="I18" s="1">
        <f>0.2*C18/100</f>
        <v>0.16</v>
      </c>
      <c r="J18" s="1">
        <f t="shared" si="3"/>
        <v>0</v>
      </c>
      <c r="K18" s="1">
        <f>115*C18/100</f>
        <v>92</v>
      </c>
      <c r="L18" s="1">
        <f>9.4*C18/100</f>
        <v>7.52</v>
      </c>
    </row>
    <row r="19" spans="1:12" x14ac:dyDescent="0.3">
      <c r="A19" s="1">
        <v>127</v>
      </c>
      <c r="B19" s="1" t="s">
        <v>26</v>
      </c>
      <c r="C19" s="1">
        <v>200</v>
      </c>
      <c r="D19" s="1">
        <f>0.3*C19/100</f>
        <v>0.6</v>
      </c>
      <c r="E19" s="1">
        <f>0.04*C19/100</f>
        <v>0.08</v>
      </c>
      <c r="F19" s="1">
        <f>8.62*C19/100</f>
        <v>17.239999999999998</v>
      </c>
      <c r="G19" s="1">
        <f>34.72*C19/100</f>
        <v>69.44</v>
      </c>
      <c r="H19" s="1">
        <f>0.003*C19/100</f>
        <v>6.0000000000000001E-3</v>
      </c>
      <c r="I19" s="1">
        <f>0.004*C19/100</f>
        <v>8.0000000000000002E-3</v>
      </c>
      <c r="J19" s="1">
        <f>20*C19/100</f>
        <v>40</v>
      </c>
      <c r="K19" s="1">
        <f>3.76*C19/100</f>
        <v>7.52</v>
      </c>
      <c r="L19" s="1">
        <f>0.15*C19/100</f>
        <v>0.3</v>
      </c>
    </row>
    <row r="20" spans="1:12" ht="15" hidden="1" x14ac:dyDescent="0.25">
      <c r="A20" s="1"/>
      <c r="B20" s="1"/>
      <c r="C20" s="1"/>
      <c r="D20" s="1">
        <f>0.3*C20/100</f>
        <v>0</v>
      </c>
      <c r="E20" s="1">
        <f>0.04*C20/100</f>
        <v>0</v>
      </c>
      <c r="F20" s="1">
        <f>8.71*C20/100</f>
        <v>0</v>
      </c>
      <c r="G20" s="1">
        <f>34.72*C20/100</f>
        <v>0</v>
      </c>
      <c r="H20" s="1">
        <f>0.003*C20/100</f>
        <v>0</v>
      </c>
      <c r="I20" s="1">
        <f>0.004*C20/100</f>
        <v>0</v>
      </c>
      <c r="J20" s="1">
        <f>20*C20/100</f>
        <v>0</v>
      </c>
      <c r="K20" s="1">
        <f>3.76*C20/100</f>
        <v>0</v>
      </c>
      <c r="L20" s="1">
        <f>0.15*C20/100</f>
        <v>0</v>
      </c>
    </row>
    <row r="21" spans="1:12" x14ac:dyDescent="0.3">
      <c r="A21" s="1"/>
      <c r="B21" s="1"/>
      <c r="C21" s="3">
        <f>SUM(C15:C20)</f>
        <v>600</v>
      </c>
      <c r="D21" s="3">
        <f>SUM(D15:D20)</f>
        <v>18.936000000000003</v>
      </c>
      <c r="E21" s="3">
        <f t="shared" ref="E21:L21" si="4">SUM(E15:E20)</f>
        <v>20.795999999999999</v>
      </c>
      <c r="F21" s="3">
        <f t="shared" si="4"/>
        <v>91.231999999999999</v>
      </c>
      <c r="G21" s="3">
        <f t="shared" si="4"/>
        <v>630.44000000000005</v>
      </c>
      <c r="H21" s="3">
        <f t="shared" si="4"/>
        <v>0.8620000000000001</v>
      </c>
      <c r="I21" s="3">
        <f t="shared" si="4"/>
        <v>0.31200000000000006</v>
      </c>
      <c r="J21" s="3">
        <f t="shared" si="4"/>
        <v>49.572000000000003</v>
      </c>
      <c r="K21" s="3">
        <f t="shared" si="4"/>
        <v>209.05199999999999</v>
      </c>
      <c r="L21" s="3">
        <f t="shared" si="4"/>
        <v>10.836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465</v>
      </c>
      <c r="B23" s="1" t="s">
        <v>66</v>
      </c>
      <c r="C23" s="1">
        <v>70</v>
      </c>
      <c r="D23" s="1">
        <f>4.45*C23/100</f>
        <v>3.1150000000000002</v>
      </c>
      <c r="E23" s="1">
        <f>4.62*C23/100</f>
        <v>3.2340000000000004</v>
      </c>
      <c r="F23" s="1">
        <f>22.48*C23/100</f>
        <v>15.736000000000001</v>
      </c>
      <c r="G23" s="1">
        <f>168.78*C23/100</f>
        <v>118.146</v>
      </c>
      <c r="H23" s="1">
        <f>0.14*C23/100</f>
        <v>9.8000000000000004E-2</v>
      </c>
      <c r="I23" s="1">
        <f>0.08*C23/100</f>
        <v>5.6000000000000008E-2</v>
      </c>
      <c r="J23" s="1">
        <f>0*C23/100</f>
        <v>0</v>
      </c>
      <c r="K23" s="1">
        <f>22.4*C23/100</f>
        <v>15.68</v>
      </c>
      <c r="L23" s="1">
        <f>1.4*C23/100</f>
        <v>0.98</v>
      </c>
    </row>
    <row r="24" spans="1:12" x14ac:dyDescent="0.3">
      <c r="A24" s="1">
        <v>138</v>
      </c>
      <c r="B24" s="1" t="s">
        <v>16</v>
      </c>
      <c r="C24" s="1">
        <v>180</v>
      </c>
      <c r="D24" s="1">
        <f>1.32*C24/100</f>
        <v>2.3760000000000003</v>
      </c>
      <c r="E24" s="1">
        <f>1.62*C24/100</f>
        <v>2.9160000000000004</v>
      </c>
      <c r="F24" s="1">
        <f>5.95*C24/100</f>
        <v>10.71</v>
      </c>
      <c r="G24" s="1">
        <f>34.39*C24/100</f>
        <v>61.902000000000001</v>
      </c>
      <c r="H24" s="1">
        <f>0.01*C24/100</f>
        <v>1.8000000000000002E-2</v>
      </c>
      <c r="I24" s="1">
        <f>0.07*C24/100</f>
        <v>0.126</v>
      </c>
      <c r="J24" s="1">
        <f>0.33*C24/100</f>
        <v>0.59400000000000008</v>
      </c>
      <c r="K24" s="1">
        <f>64.05*C24/100</f>
        <v>115.29</v>
      </c>
      <c r="L24" s="1">
        <f>0.32*C24/100</f>
        <v>0.57600000000000007</v>
      </c>
    </row>
    <row r="25" spans="1:12" x14ac:dyDescent="0.3">
      <c r="A25" s="1"/>
      <c r="B25" s="1"/>
      <c r="C25" s="3">
        <f>SUM(C23:C24)</f>
        <v>250</v>
      </c>
      <c r="D25" s="3">
        <f>SUM(D23:D24)</f>
        <v>5.4910000000000005</v>
      </c>
      <c r="E25" s="3">
        <f t="shared" ref="E25:L25" si="5">SUM(E23:E24)</f>
        <v>6.15</v>
      </c>
      <c r="F25" s="3">
        <f t="shared" si="5"/>
        <v>26.446000000000002</v>
      </c>
      <c r="G25" s="3">
        <f t="shared" si="5"/>
        <v>180.048</v>
      </c>
      <c r="H25" s="3">
        <f t="shared" si="5"/>
        <v>0.11600000000000001</v>
      </c>
      <c r="I25" s="3">
        <f t="shared" si="5"/>
        <v>0.182</v>
      </c>
      <c r="J25" s="3">
        <f t="shared" si="5"/>
        <v>0.59400000000000008</v>
      </c>
      <c r="K25" s="3">
        <f t="shared" si="5"/>
        <v>130.97</v>
      </c>
      <c r="L25" s="3">
        <f t="shared" si="5"/>
        <v>1.556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>
        <v>43</v>
      </c>
      <c r="B27" s="1" t="s">
        <v>86</v>
      </c>
      <c r="C27" s="1">
        <v>60</v>
      </c>
      <c r="D27" s="1">
        <f>1.2*C27/100</f>
        <v>0.72</v>
      </c>
      <c r="E27" s="1">
        <f>2.53*C27/100</f>
        <v>1.5179999999999998</v>
      </c>
      <c r="F27" s="1">
        <f>0.99*C27/100</f>
        <v>0.59399999999999997</v>
      </c>
      <c r="G27" s="1">
        <f>26.58*C27/100</f>
        <v>15.948</v>
      </c>
      <c r="H27" s="1">
        <f>0.13*C27/100</f>
        <v>7.8000000000000014E-2</v>
      </c>
      <c r="I27" s="1">
        <f t="shared" ref="I27" si="6">0*C27/100</f>
        <v>0</v>
      </c>
      <c r="J27" s="1">
        <f t="shared" ref="J27" si="7">0*C27/100</f>
        <v>0</v>
      </c>
      <c r="K27" s="1">
        <f>20*C27/100</f>
        <v>12</v>
      </c>
      <c r="L27" s="1">
        <f>1.53*C27/100</f>
        <v>0.91799999999999993</v>
      </c>
    </row>
    <row r="28" spans="1:12" x14ac:dyDescent="0.3">
      <c r="A28" s="1">
        <v>397</v>
      </c>
      <c r="B28" s="1" t="s">
        <v>32</v>
      </c>
      <c r="C28" s="1">
        <v>90</v>
      </c>
      <c r="D28" s="1">
        <f>2.1*C28/100</f>
        <v>1.89</v>
      </c>
      <c r="E28" s="1">
        <f>1.68*C28/100</f>
        <v>1.5119999999999998</v>
      </c>
      <c r="F28" s="1">
        <f>13.64*C28/100</f>
        <v>12.276000000000002</v>
      </c>
      <c r="G28" s="1">
        <f>82.33*C28/100</f>
        <v>74.096999999999994</v>
      </c>
      <c r="H28" s="1">
        <f>0.03*C28/100</f>
        <v>2.6999999999999996E-2</v>
      </c>
      <c r="I28" s="1">
        <f>0.09*C28/100</f>
        <v>8.1000000000000003E-2</v>
      </c>
      <c r="J28" s="1">
        <f>0.8*C28/100</f>
        <v>0.72</v>
      </c>
      <c r="K28" s="1">
        <f>76.47*C28/100</f>
        <v>68.823000000000008</v>
      </c>
      <c r="L28" s="1">
        <f>0.27*C28/100</f>
        <v>0.24299999999999999</v>
      </c>
    </row>
    <row r="29" spans="1:12" x14ac:dyDescent="0.3">
      <c r="A29" s="1"/>
      <c r="B29" s="1"/>
      <c r="C29" s="3">
        <f>SUM(C27:C28)</f>
        <v>150</v>
      </c>
      <c r="D29" s="3">
        <f>SUM(D27:D28)</f>
        <v>2.61</v>
      </c>
      <c r="E29" s="3">
        <f t="shared" ref="E29:L29" si="8">SUM(E27:E28)</f>
        <v>3.0299999999999994</v>
      </c>
      <c r="F29" s="3">
        <f t="shared" si="8"/>
        <v>12.870000000000001</v>
      </c>
      <c r="G29" s="3">
        <f t="shared" si="8"/>
        <v>90.044999999999987</v>
      </c>
      <c r="H29" s="3">
        <f t="shared" si="8"/>
        <v>0.10500000000000001</v>
      </c>
      <c r="I29" s="3">
        <f t="shared" si="8"/>
        <v>8.1000000000000003E-2</v>
      </c>
      <c r="J29" s="3">
        <f t="shared" si="8"/>
        <v>0.72</v>
      </c>
      <c r="K29" s="3">
        <f t="shared" si="8"/>
        <v>80.823000000000008</v>
      </c>
      <c r="L29" s="3">
        <f t="shared" si="8"/>
        <v>1.161</v>
      </c>
    </row>
    <row r="30" spans="1:12" x14ac:dyDescent="0.3">
      <c r="A30" s="3"/>
      <c r="B30" s="3" t="s">
        <v>30</v>
      </c>
      <c r="C30" s="3"/>
      <c r="D30" s="3">
        <f>D9+D13+D21+D25+D29</f>
        <v>40.274733333333337</v>
      </c>
      <c r="E30" s="3">
        <f t="shared" ref="E30:L30" si="9">E9+E13+E21+E25+E29</f>
        <v>45.358899999999998</v>
      </c>
      <c r="F30" s="3">
        <f t="shared" si="9"/>
        <v>195.84173333333334</v>
      </c>
      <c r="G30" s="3">
        <f t="shared" si="9"/>
        <v>1350.6621666666667</v>
      </c>
      <c r="H30" s="3">
        <f t="shared" si="9"/>
        <v>1.4431000000000003</v>
      </c>
      <c r="I30" s="3">
        <f t="shared" si="9"/>
        <v>0.871</v>
      </c>
      <c r="J30" s="3">
        <f t="shared" si="9"/>
        <v>53.946000000000005</v>
      </c>
      <c r="K30" s="3">
        <f t="shared" si="9"/>
        <v>613.56290000000001</v>
      </c>
      <c r="L30" s="3">
        <f t="shared" si="9"/>
        <v>21.652100000000001</v>
      </c>
    </row>
    <row r="31" spans="1:12" ht="15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4" workbookViewId="0">
      <selection activeCell="P28" sqref="P28"/>
    </sheetView>
  </sheetViews>
  <sheetFormatPr defaultRowHeight="14.4" x14ac:dyDescent="0.3"/>
  <cols>
    <col min="1" max="1" width="3.88671875" customWidth="1"/>
    <col min="2" max="2" width="21.6640625" customWidth="1"/>
    <col min="3" max="3" width="5.44140625" customWidth="1"/>
  </cols>
  <sheetData>
    <row r="1" spans="1:12" x14ac:dyDescent="0.3">
      <c r="A1" s="3" t="s">
        <v>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1.6" x14ac:dyDescent="0.3">
      <c r="A5" s="1">
        <v>212</v>
      </c>
      <c r="B5" s="2" t="s">
        <v>87</v>
      </c>
      <c r="C5" s="1">
        <v>90</v>
      </c>
      <c r="D5" s="1">
        <f>1.86*C5/60</f>
        <v>2.79</v>
      </c>
      <c r="E5" s="1">
        <f>3.91*C5/60</f>
        <v>5.8650000000000002</v>
      </c>
      <c r="F5" s="1">
        <f>5.48*C5/60</f>
        <v>8.2200000000000006</v>
      </c>
      <c r="G5" s="1">
        <f>45.74*C5/60</f>
        <v>68.61</v>
      </c>
      <c r="H5" s="1">
        <f>0.04*C5/100</f>
        <v>3.6000000000000004E-2</v>
      </c>
      <c r="I5" s="1">
        <f>0.011*C5/100</f>
        <v>9.8999999999999991E-3</v>
      </c>
      <c r="J5" s="1">
        <f>0.46*C5/100</f>
        <v>0.41399999999999998</v>
      </c>
      <c r="K5" s="1">
        <f>82.37*C5/100</f>
        <v>74.132999999999996</v>
      </c>
      <c r="L5" s="1">
        <f>0.27*C5/100</f>
        <v>0.24299999999999999</v>
      </c>
    </row>
    <row r="6" spans="1:12" x14ac:dyDescent="0.3">
      <c r="A6" s="1">
        <v>315</v>
      </c>
      <c r="B6" s="1" t="s">
        <v>44</v>
      </c>
      <c r="C6" s="1">
        <v>70</v>
      </c>
      <c r="D6" s="1">
        <f>2.43*C6/100</f>
        <v>1.7010000000000003</v>
      </c>
      <c r="E6" s="1">
        <f>3.58*C6/100</f>
        <v>2.5059999999999998</v>
      </c>
      <c r="F6" s="1">
        <f>12.46*C6/100</f>
        <v>8.7220000000000013</v>
      </c>
      <c r="G6" s="1">
        <f>139*C6/100</f>
        <v>97.3</v>
      </c>
      <c r="H6" s="1">
        <f>0.02*C6/100</f>
        <v>1.4000000000000002E-2</v>
      </c>
      <c r="I6" s="1">
        <f>0.01*C6/100</f>
        <v>7.000000000000001E-3</v>
      </c>
      <c r="J6" s="1">
        <f>0*C6/100</f>
        <v>0</v>
      </c>
      <c r="K6" s="1">
        <f>0.91*C6/100</f>
        <v>0.63700000000000001</v>
      </c>
      <c r="L6" s="1">
        <f>0.35*C6/100</f>
        <v>0.245</v>
      </c>
    </row>
    <row r="7" spans="1:12" x14ac:dyDescent="0.3">
      <c r="A7" s="1" t="s">
        <v>17</v>
      </c>
      <c r="B7" s="1" t="s">
        <v>24</v>
      </c>
      <c r="C7" s="1">
        <v>40</v>
      </c>
      <c r="D7" s="1">
        <f>7.9*C7/100</f>
        <v>3.16</v>
      </c>
      <c r="E7" s="1">
        <f>1*C7/100</f>
        <v>0.4</v>
      </c>
      <c r="F7" s="1">
        <f>48.3*C7/100</f>
        <v>19.32</v>
      </c>
      <c r="G7" s="1">
        <f>213.6*C7/100</f>
        <v>85.44</v>
      </c>
      <c r="H7" s="1">
        <f>0.2*C7/100</f>
        <v>0.08</v>
      </c>
      <c r="I7" s="1">
        <f>0*C7/100</f>
        <v>0</v>
      </c>
      <c r="J7" s="1">
        <f t="shared" ref="J7" si="0">0*C7/100</f>
        <v>0</v>
      </c>
      <c r="K7" s="1">
        <f>23*C7/100</f>
        <v>9.1999999999999993</v>
      </c>
      <c r="L7" s="1">
        <f>1.9*C7/100</f>
        <v>0.76</v>
      </c>
    </row>
    <row r="8" spans="1:12" hidden="1" x14ac:dyDescent="0.3">
      <c r="A8" s="1">
        <v>138</v>
      </c>
      <c r="B8" s="1" t="s">
        <v>16</v>
      </c>
      <c r="C8" s="1">
        <v>150</v>
      </c>
      <c r="D8" s="1">
        <f>1.56*C8/100</f>
        <v>2.34</v>
      </c>
      <c r="E8" s="1">
        <f>1.62*C8/100</f>
        <v>2.4300000000000002</v>
      </c>
      <c r="F8" s="1">
        <f>7.95*C8/100</f>
        <v>11.925000000000001</v>
      </c>
      <c r="G8" s="1">
        <f>54.34*C8/100</f>
        <v>81.510000000000005</v>
      </c>
      <c r="H8" s="1">
        <f>0.01*C8/100</f>
        <v>1.4999999999999999E-2</v>
      </c>
      <c r="I8" s="1">
        <f>0.07*C8/100</f>
        <v>0.10500000000000002</v>
      </c>
      <c r="J8" s="1">
        <f>0.33*C8/100</f>
        <v>0.495</v>
      </c>
      <c r="K8" s="1">
        <f>64.05*C8/100</f>
        <v>96.075000000000003</v>
      </c>
      <c r="L8" s="1">
        <f>0.32*C8/100</f>
        <v>0.48</v>
      </c>
    </row>
    <row r="9" spans="1:12" ht="15" hidden="1" x14ac:dyDescent="0.25">
      <c r="A9" s="1"/>
      <c r="B9" s="1"/>
      <c r="C9" s="1"/>
      <c r="D9" s="1">
        <f>6.12*C9/100</f>
        <v>0</v>
      </c>
      <c r="E9" s="1">
        <f>18.88*C9/100</f>
        <v>0</v>
      </c>
      <c r="F9" s="1">
        <f>36.55*C9/100</f>
        <v>0</v>
      </c>
      <c r="G9" s="1">
        <f>340*C9/100</f>
        <v>0</v>
      </c>
      <c r="H9" s="1">
        <f>0.12*C9/100</f>
        <v>0</v>
      </c>
      <c r="I9" s="1">
        <f>0.08*C9/100</f>
        <v>0</v>
      </c>
      <c r="J9" s="1">
        <f t="shared" ref="J9" si="1">0*C9/100</f>
        <v>0</v>
      </c>
      <c r="K9" s="1">
        <f>23.25*C9/100</f>
        <v>0</v>
      </c>
      <c r="L9" s="1">
        <f>1.55*C9/100</f>
        <v>0</v>
      </c>
    </row>
    <row r="10" spans="1:12" x14ac:dyDescent="0.3">
      <c r="A10" s="1">
        <v>138</v>
      </c>
      <c r="B10" s="1" t="s">
        <v>16</v>
      </c>
      <c r="C10" s="1">
        <v>200</v>
      </c>
      <c r="D10" s="1">
        <f>1.56*C10/100</f>
        <v>3.12</v>
      </c>
      <c r="E10" s="1">
        <f>1.62*C10/100</f>
        <v>3.24</v>
      </c>
      <c r="F10" s="1">
        <f>7.95*C10/100</f>
        <v>15.9</v>
      </c>
      <c r="G10" s="1">
        <f>54.34*C10/100</f>
        <v>108.68</v>
      </c>
      <c r="H10" s="1">
        <f>0.01*C10/100</f>
        <v>0.02</v>
      </c>
      <c r="I10" s="1">
        <f>0.07*C10/100</f>
        <v>0.14000000000000001</v>
      </c>
      <c r="J10" s="1">
        <f>0.33*C10/100</f>
        <v>0.66</v>
      </c>
      <c r="K10" s="1">
        <f>64.05*C10/100</f>
        <v>128.1</v>
      </c>
      <c r="L10" s="1">
        <f>0.32*C10/100</f>
        <v>0.64</v>
      </c>
    </row>
    <row r="11" spans="1:12" x14ac:dyDescent="0.3">
      <c r="A11" s="1"/>
      <c r="B11" s="1"/>
      <c r="C11" s="3">
        <f>C5+C6+C7+C10</f>
        <v>400</v>
      </c>
      <c r="D11" s="3">
        <f t="shared" ref="D11:L11" si="2">D5+D6+D7+D10</f>
        <v>10.771000000000001</v>
      </c>
      <c r="E11" s="3">
        <f t="shared" si="2"/>
        <v>12.011000000000001</v>
      </c>
      <c r="F11" s="3">
        <f t="shared" si="2"/>
        <v>52.161999999999999</v>
      </c>
      <c r="G11" s="3">
        <f t="shared" si="2"/>
        <v>360.03</v>
      </c>
      <c r="H11" s="3">
        <f t="shared" si="2"/>
        <v>0.15</v>
      </c>
      <c r="I11" s="3">
        <f t="shared" si="2"/>
        <v>0.15690000000000001</v>
      </c>
      <c r="J11" s="3">
        <f t="shared" si="2"/>
        <v>1.0740000000000001</v>
      </c>
      <c r="K11" s="3">
        <f t="shared" si="2"/>
        <v>212.07</v>
      </c>
      <c r="L11" s="3">
        <f t="shared" si="2"/>
        <v>1.8879999999999999</v>
      </c>
    </row>
    <row r="12" spans="1:12" x14ac:dyDescent="0.3">
      <c r="A12" s="1" t="s">
        <v>19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1">
        <v>134</v>
      </c>
      <c r="B13" s="1" t="s">
        <v>20</v>
      </c>
      <c r="C13" s="1">
        <v>120</v>
      </c>
      <c r="D13" s="1">
        <f>0.5*C13/100</f>
        <v>0.6</v>
      </c>
      <c r="E13" s="1">
        <f>0.1*C13/100</f>
        <v>0.12</v>
      </c>
      <c r="F13" s="1">
        <f>5.96*C13/100</f>
        <v>7.1520000000000001</v>
      </c>
      <c r="G13" s="1">
        <f>33*C13/100</f>
        <v>39.6</v>
      </c>
      <c r="H13" s="1">
        <f>0.01*C13/100</f>
        <v>1.2E-2</v>
      </c>
      <c r="I13" s="1">
        <f>0.01*C13/100</f>
        <v>1.2E-2</v>
      </c>
      <c r="J13" s="1">
        <f>2*C13/100</f>
        <v>2.4</v>
      </c>
      <c r="K13" s="1">
        <f>7*C13/100</f>
        <v>8.4</v>
      </c>
      <c r="L13" s="1">
        <f>1.4*C13/100</f>
        <v>1.68</v>
      </c>
    </row>
    <row r="14" spans="1:12" x14ac:dyDescent="0.3">
      <c r="A14" s="1" t="s">
        <v>17</v>
      </c>
      <c r="B14" s="1" t="s">
        <v>18</v>
      </c>
      <c r="C14" s="1">
        <v>15</v>
      </c>
      <c r="D14" s="1">
        <f>13.92*C14/100</f>
        <v>2.0880000000000001</v>
      </c>
      <c r="E14" s="1">
        <f>20.07*C14/100</f>
        <v>3.0105</v>
      </c>
      <c r="F14" s="1">
        <f>39.02*C14/100</f>
        <v>5.8530000000000006</v>
      </c>
      <c r="G14" s="1">
        <f>337*C14/100</f>
        <v>50.55</v>
      </c>
      <c r="H14" s="1">
        <f>0.33*C14/100</f>
        <v>4.9500000000000002E-2</v>
      </c>
      <c r="I14" s="1">
        <f>0*C14/100</f>
        <v>0</v>
      </c>
      <c r="J14" s="1">
        <f>0*C14/100</f>
        <v>0</v>
      </c>
      <c r="K14" s="1">
        <f>186.67*C14/100</f>
        <v>28.000499999999999</v>
      </c>
      <c r="L14" s="1">
        <f>1.83*C14/100</f>
        <v>0.27450000000000002</v>
      </c>
    </row>
    <row r="15" spans="1:12" x14ac:dyDescent="0.3">
      <c r="A15" s="1"/>
      <c r="B15" s="1"/>
      <c r="C15" s="3">
        <f>SUM(C13:C14)</f>
        <v>135</v>
      </c>
      <c r="D15" s="3">
        <f>SUM(D13:D14)</f>
        <v>2.6880000000000002</v>
      </c>
      <c r="E15" s="3">
        <f t="shared" ref="E15:L15" si="3">SUM(E13:E14)</f>
        <v>3.1305000000000001</v>
      </c>
      <c r="F15" s="3">
        <f t="shared" si="3"/>
        <v>13.005000000000001</v>
      </c>
      <c r="G15" s="3">
        <f t="shared" si="3"/>
        <v>90.15</v>
      </c>
      <c r="H15" s="3">
        <f t="shared" si="3"/>
        <v>6.1499999999999999E-2</v>
      </c>
      <c r="I15" s="3">
        <f t="shared" si="3"/>
        <v>1.2E-2</v>
      </c>
      <c r="J15" s="3">
        <f t="shared" si="3"/>
        <v>2.4</v>
      </c>
      <c r="K15" s="3">
        <f t="shared" si="3"/>
        <v>36.400500000000001</v>
      </c>
      <c r="L15" s="3">
        <f t="shared" si="3"/>
        <v>1.9544999999999999</v>
      </c>
    </row>
    <row r="16" spans="1:12" x14ac:dyDescent="0.3">
      <c r="A16" s="1" t="s">
        <v>22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3">
      <c r="A17" s="1">
        <v>66</v>
      </c>
      <c r="B17" s="1" t="s">
        <v>52</v>
      </c>
      <c r="C17" s="1">
        <v>180</v>
      </c>
      <c r="D17" s="1">
        <f>1.13*C17/100</f>
        <v>2.0339999999999998</v>
      </c>
      <c r="E17" s="1">
        <f>1.73*C17/100</f>
        <v>3.1139999999999999</v>
      </c>
      <c r="F17" s="1">
        <f>18.27*C17/100</f>
        <v>32.885999999999996</v>
      </c>
      <c r="G17" s="1">
        <f>81.33*C17/100</f>
        <v>146.39400000000001</v>
      </c>
      <c r="H17" s="1">
        <f>0.01*C17/100</f>
        <v>1.8000000000000002E-2</v>
      </c>
      <c r="I17" s="1">
        <f>0.01*C17/100</f>
        <v>1.8000000000000002E-2</v>
      </c>
      <c r="J17" s="1">
        <f>0.24*C17/100</f>
        <v>0.43199999999999994</v>
      </c>
      <c r="K17" s="1">
        <f>5.05*C17/100</f>
        <v>9.09</v>
      </c>
      <c r="L17" s="1">
        <f>0.18*C17/100</f>
        <v>0.32400000000000001</v>
      </c>
    </row>
    <row r="18" spans="1:12" ht="21.6" x14ac:dyDescent="0.3">
      <c r="A18" s="1">
        <v>154</v>
      </c>
      <c r="B18" s="2" t="s">
        <v>88</v>
      </c>
      <c r="C18" s="1">
        <v>70</v>
      </c>
      <c r="D18" s="1">
        <f>18.59*C18/100</f>
        <v>13.013</v>
      </c>
      <c r="E18" s="1">
        <f>6.41*C18/100</f>
        <v>4.4870000000000001</v>
      </c>
      <c r="F18" s="1">
        <f>13.96*C18/100</f>
        <v>9.7720000000000002</v>
      </c>
      <c r="G18" s="1">
        <f>99.5*C18/100</f>
        <v>69.650000000000006</v>
      </c>
      <c r="H18" s="1">
        <f>0.05*C18/100</f>
        <v>3.5000000000000003E-2</v>
      </c>
      <c r="I18" s="1">
        <f>0.08*C18/100</f>
        <v>5.6000000000000008E-2</v>
      </c>
      <c r="J18" s="1">
        <f>0.71*C18/100</f>
        <v>0.49699999999999994</v>
      </c>
      <c r="K18" s="1">
        <f>36.58*C18/100</f>
        <v>25.605999999999998</v>
      </c>
      <c r="L18" s="1">
        <f>0.8*C18/100</f>
        <v>0.56000000000000005</v>
      </c>
    </row>
    <row r="19" spans="1:12" x14ac:dyDescent="0.3">
      <c r="A19" s="1">
        <v>302</v>
      </c>
      <c r="B19" s="1" t="s">
        <v>75</v>
      </c>
      <c r="C19" s="1">
        <v>80</v>
      </c>
      <c r="D19" s="1">
        <f>0.38*C19/100</f>
        <v>0.30399999999999999</v>
      </c>
      <c r="E19" s="1">
        <f>12.1*C19/100</f>
        <v>9.68</v>
      </c>
      <c r="F19" s="1">
        <f>12.72*C19/100</f>
        <v>10.176</v>
      </c>
      <c r="G19" s="1">
        <f>276.38*C19/100</f>
        <v>221.10400000000001</v>
      </c>
      <c r="H19" s="1">
        <f>0*C19/100</f>
        <v>0</v>
      </c>
      <c r="I19" s="1">
        <f>0.07*C19/100</f>
        <v>5.6000000000000008E-2</v>
      </c>
      <c r="J19" s="1">
        <f>0*C19/100</f>
        <v>0</v>
      </c>
      <c r="K19" s="1">
        <f>91.11*C19/100</f>
        <v>72.888000000000005</v>
      </c>
      <c r="L19" s="1">
        <f>0.8*C19/100</f>
        <v>0.64</v>
      </c>
    </row>
    <row r="20" spans="1:12" x14ac:dyDescent="0.3">
      <c r="A20" s="1" t="s">
        <v>17</v>
      </c>
      <c r="B20" s="1" t="s">
        <v>24</v>
      </c>
      <c r="C20" s="1">
        <v>40</v>
      </c>
      <c r="D20" s="1">
        <f>7.9*C20/100</f>
        <v>3.16</v>
      </c>
      <c r="E20" s="1">
        <f>1*C20/100</f>
        <v>0.4</v>
      </c>
      <c r="F20" s="1">
        <f>48.3*C20/100</f>
        <v>19.32</v>
      </c>
      <c r="G20" s="1">
        <f>213.6*C20/100</f>
        <v>85.44</v>
      </c>
      <c r="H20" s="1">
        <f>0.2*C20/100</f>
        <v>0.08</v>
      </c>
      <c r="I20" s="1">
        <f>0*C20/100</f>
        <v>0</v>
      </c>
      <c r="J20" s="1">
        <f t="shared" ref="J20" si="4">0*C20/100</f>
        <v>0</v>
      </c>
      <c r="K20" s="1">
        <f>23*C20/100</f>
        <v>9.1999999999999993</v>
      </c>
      <c r="L20" s="1">
        <f>1.9*C20/100</f>
        <v>0.76</v>
      </c>
    </row>
    <row r="21" spans="1:12" x14ac:dyDescent="0.3">
      <c r="A21" s="1">
        <v>122</v>
      </c>
      <c r="B21" s="1" t="s">
        <v>36</v>
      </c>
      <c r="C21" s="1">
        <v>170</v>
      </c>
      <c r="D21" s="1">
        <f>0*C21/100</f>
        <v>0</v>
      </c>
      <c r="E21" s="1">
        <f>0*C21/100</f>
        <v>0</v>
      </c>
      <c r="F21" s="1">
        <f>9.8*C21/100</f>
        <v>16.660000000000004</v>
      </c>
      <c r="G21" s="1">
        <f>40*C21/100</f>
        <v>68</v>
      </c>
      <c r="H21" s="1">
        <f>0.3*C21/100</f>
        <v>0.51</v>
      </c>
      <c r="I21" s="1">
        <f>0.3*C21/100</f>
        <v>0.51</v>
      </c>
      <c r="J21" s="1">
        <f>15*C21/100</f>
        <v>25.5</v>
      </c>
      <c r="K21" s="1">
        <f>4.5*C21/100</f>
        <v>7.65</v>
      </c>
      <c r="L21" s="1">
        <f>0*C21/100</f>
        <v>0</v>
      </c>
    </row>
    <row r="22" spans="1:12" hidden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21.6" x14ac:dyDescent="0.3">
      <c r="A23" s="1">
        <v>73</v>
      </c>
      <c r="B23" s="2" t="s">
        <v>89</v>
      </c>
      <c r="C23" s="1">
        <v>60</v>
      </c>
      <c r="D23" s="1">
        <f>0.63*C23/100</f>
        <v>0.37799999999999995</v>
      </c>
      <c r="E23" s="1">
        <f>5.09*C23/100</f>
        <v>3.0539999999999998</v>
      </c>
      <c r="F23" s="1">
        <f>4.23*C23/100</f>
        <v>2.5380000000000003</v>
      </c>
      <c r="G23" s="1">
        <f>66*C23/100</f>
        <v>39.6</v>
      </c>
      <c r="H23" s="1">
        <f>0.003*C23/100</f>
        <v>1.8E-3</v>
      </c>
      <c r="I23" s="1">
        <f>0.004*C23/100</f>
        <v>2.3999999999999998E-3</v>
      </c>
      <c r="J23" s="1">
        <f>20*C23/100</f>
        <v>12</v>
      </c>
      <c r="K23" s="1">
        <f>3.76*C23/100</f>
        <v>2.2559999999999998</v>
      </c>
      <c r="L23" s="1">
        <f>0.15*C23/100</f>
        <v>0.09</v>
      </c>
    </row>
    <row r="24" spans="1:12" x14ac:dyDescent="0.3">
      <c r="A24" s="1"/>
      <c r="B24" s="1"/>
      <c r="C24" s="3">
        <f>C17+C18+C19+C20+C21+C23</f>
        <v>600</v>
      </c>
      <c r="D24" s="3">
        <f t="shared" ref="D24:L24" si="5">D17+D18+D19+D20+D21+D23</f>
        <v>18.889000000000003</v>
      </c>
      <c r="E24" s="3">
        <f t="shared" si="5"/>
        <v>20.734999999999996</v>
      </c>
      <c r="F24" s="3">
        <f t="shared" si="5"/>
        <v>91.35199999999999</v>
      </c>
      <c r="G24" s="3">
        <f t="shared" si="5"/>
        <v>630.18799999999999</v>
      </c>
      <c r="H24" s="3">
        <f t="shared" si="5"/>
        <v>0.64480000000000004</v>
      </c>
      <c r="I24" s="3">
        <f t="shared" si="5"/>
        <v>0.64239999999999997</v>
      </c>
      <c r="J24" s="3">
        <f t="shared" si="5"/>
        <v>38.429000000000002</v>
      </c>
      <c r="K24" s="3">
        <f t="shared" si="5"/>
        <v>126.69000000000001</v>
      </c>
      <c r="L24" s="3">
        <f t="shared" si="5"/>
        <v>2.3739999999999997</v>
      </c>
    </row>
    <row r="25" spans="1:12" x14ac:dyDescent="0.3">
      <c r="A25" s="1" t="s">
        <v>27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>
        <v>460</v>
      </c>
      <c r="B26" s="1" t="s">
        <v>67</v>
      </c>
      <c r="C26" s="1">
        <v>70</v>
      </c>
      <c r="D26" s="1">
        <f>6.48*C26/100</f>
        <v>4.5360000000000005</v>
      </c>
      <c r="E26" s="1">
        <f>8.38*C26/100</f>
        <v>5.8660000000000005</v>
      </c>
      <c r="F26" s="1">
        <f>11.34*C26/100</f>
        <v>7.9379999999999997</v>
      </c>
      <c r="G26" s="1">
        <f>138.89*C26/100</f>
        <v>97.222999999999999</v>
      </c>
      <c r="H26" s="1">
        <f>0.12*C26/100</f>
        <v>8.4000000000000005E-2</v>
      </c>
      <c r="I26" s="1">
        <f>0.1*C26/100</f>
        <v>7.0000000000000007E-2</v>
      </c>
      <c r="J26" s="1">
        <f>0*C26/100</f>
        <v>0</v>
      </c>
      <c r="K26" s="1">
        <f>19.4*C26/100</f>
        <v>13.58</v>
      </c>
      <c r="L26" s="1">
        <f>1.28*C26/100</f>
        <v>0.89600000000000013</v>
      </c>
    </row>
    <row r="27" spans="1:12" x14ac:dyDescent="0.3">
      <c r="A27" s="1">
        <v>134</v>
      </c>
      <c r="B27" s="1" t="s">
        <v>20</v>
      </c>
      <c r="C27" s="1">
        <v>180</v>
      </c>
      <c r="D27" s="1">
        <f>0.5*C27/100</f>
        <v>0.9</v>
      </c>
      <c r="E27" s="1">
        <f>0.1*C27/100</f>
        <v>0.18</v>
      </c>
      <c r="F27" s="1">
        <f>10.1*C27/100</f>
        <v>18.18</v>
      </c>
      <c r="G27" s="1">
        <f>46*C27/100</f>
        <v>82.8</v>
      </c>
      <c r="H27" s="1">
        <f>0.01*C27/100</f>
        <v>1.8000000000000002E-2</v>
      </c>
      <c r="I27" s="1">
        <f>0.01*C27/100</f>
        <v>1.8000000000000002E-2</v>
      </c>
      <c r="J27" s="1">
        <f>2*C27/100</f>
        <v>3.6</v>
      </c>
      <c r="K27" s="1">
        <f>7*C27/100</f>
        <v>12.6</v>
      </c>
      <c r="L27" s="1">
        <f>1.4*C27/100</f>
        <v>2.5199999999999996</v>
      </c>
    </row>
    <row r="28" spans="1:12" x14ac:dyDescent="0.3">
      <c r="A28" s="1"/>
      <c r="B28" s="1"/>
      <c r="C28" s="3">
        <f>SUM(C26:C27)</f>
        <v>250</v>
      </c>
      <c r="D28" s="3">
        <f>SUM(D26:D27)</f>
        <v>5.4360000000000008</v>
      </c>
      <c r="E28" s="3">
        <f t="shared" ref="E28:L28" si="6">SUM(E26:E27)</f>
        <v>6.0460000000000003</v>
      </c>
      <c r="F28" s="3">
        <f t="shared" si="6"/>
        <v>26.117999999999999</v>
      </c>
      <c r="G28" s="3">
        <f t="shared" si="6"/>
        <v>180.023</v>
      </c>
      <c r="H28" s="3">
        <f t="shared" si="6"/>
        <v>0.10200000000000001</v>
      </c>
      <c r="I28" s="3">
        <f t="shared" si="6"/>
        <v>8.8000000000000009E-2</v>
      </c>
      <c r="J28" s="3">
        <f t="shared" si="6"/>
        <v>3.6</v>
      </c>
      <c r="K28" s="3">
        <f t="shared" si="6"/>
        <v>26.18</v>
      </c>
      <c r="L28" s="3">
        <f t="shared" si="6"/>
        <v>3.4159999999999995</v>
      </c>
    </row>
    <row r="29" spans="1:12" x14ac:dyDescent="0.3">
      <c r="A29" s="1" t="s">
        <v>29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3">
      <c r="A30" s="1" t="s">
        <v>17</v>
      </c>
      <c r="B30" s="1" t="s">
        <v>57</v>
      </c>
      <c r="C30" s="1">
        <v>130</v>
      </c>
      <c r="D30" s="1">
        <f>0.5*C30/100</f>
        <v>0.65</v>
      </c>
      <c r="E30" s="1">
        <f>0*C30/100</f>
        <v>0</v>
      </c>
      <c r="F30" s="1">
        <f>8.1*C30/100</f>
        <v>10.53</v>
      </c>
      <c r="G30" s="1">
        <f>45.65*C30/100</f>
        <v>59.344999999999999</v>
      </c>
      <c r="H30" s="1">
        <f>0.02*C30/100</f>
        <v>2.6000000000000002E-2</v>
      </c>
      <c r="I30" s="1">
        <f>0.04*C30/100</f>
        <v>5.2000000000000005E-2</v>
      </c>
      <c r="J30" s="1">
        <f>4*C30/100</f>
        <v>5.2</v>
      </c>
      <c r="K30" s="1">
        <f>12*C30/100</f>
        <v>15.6</v>
      </c>
      <c r="L30" s="1">
        <f>0.7*C30/100</f>
        <v>0.91</v>
      </c>
    </row>
    <row r="31" spans="1:12" x14ac:dyDescent="0.3">
      <c r="A31" s="1" t="s">
        <v>17</v>
      </c>
      <c r="B31" s="1" t="s">
        <v>21</v>
      </c>
      <c r="C31" s="1">
        <v>20</v>
      </c>
      <c r="D31" s="1">
        <f>11.4*C31/100</f>
        <v>2.2799999999999998</v>
      </c>
      <c r="E31" s="1">
        <f>15.12*C31/100</f>
        <v>3.0239999999999996</v>
      </c>
      <c r="F31" s="1">
        <f>14.15*C31/100</f>
        <v>2.83</v>
      </c>
      <c r="G31" s="1">
        <f>154*C31/100</f>
        <v>30.8</v>
      </c>
      <c r="H31" s="1">
        <f>0.13*C31/100</f>
        <v>2.6000000000000002E-2</v>
      </c>
      <c r="I31" s="1">
        <f t="shared" ref="I31" si="7">0*C31/100</f>
        <v>0</v>
      </c>
      <c r="J31" s="1">
        <f t="shared" ref="J31" si="8">0*C31/100</f>
        <v>0</v>
      </c>
      <c r="K31" s="1">
        <f>20*C31/100</f>
        <v>4</v>
      </c>
      <c r="L31" s="1">
        <f>1.53*C31/100</f>
        <v>0.30599999999999999</v>
      </c>
    </row>
    <row r="32" spans="1:12" x14ac:dyDescent="0.3">
      <c r="A32" s="1"/>
      <c r="B32" s="1"/>
      <c r="C32" s="3">
        <f>SUM(C30:C31)</f>
        <v>150</v>
      </c>
      <c r="D32" s="3">
        <f>SUM(D30:D31)</f>
        <v>2.9299999999999997</v>
      </c>
      <c r="E32" s="3">
        <f>SUM(E30:E31)</f>
        <v>3.0239999999999996</v>
      </c>
      <c r="F32" s="3">
        <f>SUM(F30:F31)</f>
        <v>13.36</v>
      </c>
      <c r="G32" s="3">
        <f>SUM(G30:G31)</f>
        <v>90.144999999999996</v>
      </c>
      <c r="H32" s="3">
        <f>SUM(H30:H31)</f>
        <v>5.2000000000000005E-2</v>
      </c>
      <c r="I32" s="3">
        <f>SUM(I30:I31)</f>
        <v>5.2000000000000005E-2</v>
      </c>
      <c r="J32" s="3">
        <f>SUM(J30:J31)</f>
        <v>5.2</v>
      </c>
      <c r="K32" s="3">
        <f>SUM(K30:K31)</f>
        <v>19.600000000000001</v>
      </c>
      <c r="L32" s="3">
        <f>SUM(L30:L31)</f>
        <v>1.216</v>
      </c>
    </row>
    <row r="33" spans="1:12" x14ac:dyDescent="0.3">
      <c r="A33" s="3"/>
      <c r="B33" s="3" t="s">
        <v>30</v>
      </c>
      <c r="C33" s="3"/>
      <c r="D33" s="3">
        <f>D11+D15+D24+D28+D32</f>
        <v>40.714000000000006</v>
      </c>
      <c r="E33" s="3">
        <f>E11+E15+E24+E28+E32</f>
        <v>44.946499999999993</v>
      </c>
      <c r="F33" s="3">
        <f>F11+F15+F24+F28+F32</f>
        <v>195.99700000000001</v>
      </c>
      <c r="G33" s="3">
        <f>G11+G15+G24+G28+G32</f>
        <v>1350.5359999999998</v>
      </c>
      <c r="H33" s="3">
        <f>H11+H15+H24+H28+H32</f>
        <v>1.0103</v>
      </c>
      <c r="I33" s="3">
        <f>I11+I15+I24+I28+I32</f>
        <v>0.95130000000000003</v>
      </c>
      <c r="J33" s="3">
        <f>J11+J15+J24+J28+J32</f>
        <v>50.70300000000001</v>
      </c>
      <c r="K33" s="3">
        <f>K11+K15+K24+K28+K32</f>
        <v>420.94050000000004</v>
      </c>
      <c r="L33" s="3">
        <f>L11+L15+L24+L28+L32</f>
        <v>10.8485</v>
      </c>
    </row>
    <row r="34" spans="1:12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0" workbookViewId="0">
      <selection activeCell="N17" sqref="N17"/>
    </sheetView>
  </sheetViews>
  <sheetFormatPr defaultRowHeight="14.4" x14ac:dyDescent="0.3"/>
  <cols>
    <col min="1" max="1" width="4.44140625" customWidth="1"/>
    <col min="2" max="2" width="25.88671875" customWidth="1"/>
    <col min="3" max="3" width="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67</v>
      </c>
      <c r="B5" s="1" t="s">
        <v>40</v>
      </c>
      <c r="C5" s="1">
        <v>160</v>
      </c>
      <c r="D5" s="1">
        <f>2.26*C5/100</f>
        <v>3.6159999999999997</v>
      </c>
      <c r="E5" s="1">
        <f>2.15*C5/100</f>
        <v>3.44</v>
      </c>
      <c r="F5" s="1">
        <f>9.48*C5/100</f>
        <v>15.168000000000001</v>
      </c>
      <c r="G5" s="1">
        <f>58.98*C5/100</f>
        <v>94.367999999999995</v>
      </c>
      <c r="H5" s="1">
        <f>0.14*C5/100</f>
        <v>0.22400000000000003</v>
      </c>
      <c r="I5" s="1">
        <f>0.07*C5/100</f>
        <v>0.11200000000000002</v>
      </c>
      <c r="J5" s="1">
        <f>0*C5/100</f>
        <v>0</v>
      </c>
      <c r="K5" s="1">
        <f>9.49*C5/100</f>
        <v>15.184000000000001</v>
      </c>
      <c r="L5" s="1">
        <f>3.03*C5/100</f>
        <v>4.8479999999999999</v>
      </c>
    </row>
    <row r="6" spans="1:12" x14ac:dyDescent="0.3">
      <c r="A6" s="1" t="s">
        <v>17</v>
      </c>
      <c r="B6" s="1" t="s">
        <v>24</v>
      </c>
      <c r="C6" s="1">
        <v>40</v>
      </c>
      <c r="D6" s="1">
        <f>7.9*C6/100</f>
        <v>3.16</v>
      </c>
      <c r="E6" s="1">
        <f>1*C6/100</f>
        <v>0.4</v>
      </c>
      <c r="F6" s="1">
        <f>28.3*C6/100</f>
        <v>11.32</v>
      </c>
      <c r="G6" s="1">
        <f>113.6*C6/100</f>
        <v>45.44</v>
      </c>
      <c r="H6" s="1">
        <f>0.2*C6/100</f>
        <v>0.08</v>
      </c>
      <c r="I6" s="1">
        <f>0*C6/100</f>
        <v>0</v>
      </c>
      <c r="J6" s="1">
        <f t="shared" ref="J6:J7" si="0">0*C6/100</f>
        <v>0</v>
      </c>
      <c r="K6" s="1">
        <f>23*C6/100</f>
        <v>9.1999999999999993</v>
      </c>
      <c r="L6" s="1">
        <f>1.9*C6/100</f>
        <v>0.76</v>
      </c>
    </row>
    <row r="7" spans="1:12" x14ac:dyDescent="0.3">
      <c r="A7" s="1">
        <v>138</v>
      </c>
      <c r="B7" s="1" t="s">
        <v>16</v>
      </c>
      <c r="C7" s="1">
        <v>200</v>
      </c>
      <c r="D7" s="1">
        <f>1.98*C7/100</f>
        <v>3.96</v>
      </c>
      <c r="E7" s="1">
        <f>4.08*C7/100</f>
        <v>8.16</v>
      </c>
      <c r="F7" s="1">
        <f>12.85*C7/100</f>
        <v>25.7</v>
      </c>
      <c r="G7" s="1">
        <f>110*C7/100</f>
        <v>220</v>
      </c>
      <c r="H7" s="1">
        <f>0.12*C7/100</f>
        <v>0.24</v>
      </c>
      <c r="I7" s="1">
        <f>0.08*C7/100</f>
        <v>0.16</v>
      </c>
      <c r="J7" s="1">
        <f t="shared" si="0"/>
        <v>0</v>
      </c>
      <c r="K7" s="1">
        <f>23.25*C7/100</f>
        <v>46.5</v>
      </c>
      <c r="L7" s="1">
        <f>1.55*C7/100</f>
        <v>3.1</v>
      </c>
    </row>
    <row r="8" spans="1:12" x14ac:dyDescent="0.3">
      <c r="A8" s="1"/>
      <c r="B8" s="1"/>
      <c r="C8" s="3">
        <f>SUM(C5:C7)</f>
        <v>400</v>
      </c>
      <c r="D8" s="3">
        <f>SUM(D5:D7)</f>
        <v>10.736000000000001</v>
      </c>
      <c r="E8" s="3">
        <f>SUM(E5:E7)</f>
        <v>12</v>
      </c>
      <c r="F8" s="3">
        <f>SUM(F5:F7)</f>
        <v>52.188000000000002</v>
      </c>
      <c r="G8" s="3">
        <f>SUM(G5:G7)</f>
        <v>359.80799999999999</v>
      </c>
      <c r="H8" s="3">
        <f>SUM(H5:H7)</f>
        <v>0.54400000000000004</v>
      </c>
      <c r="I8" s="3">
        <f>SUM(I5:I7)</f>
        <v>0.27200000000000002</v>
      </c>
      <c r="J8" s="3">
        <f>SUM(J5:J7)</f>
        <v>0</v>
      </c>
      <c r="K8" s="3">
        <f>SUM(K5:K7)</f>
        <v>70.884</v>
      </c>
      <c r="L8" s="3">
        <f>SUM(L5:L7)</f>
        <v>8.7080000000000002</v>
      </c>
    </row>
    <row r="9" spans="1:12" x14ac:dyDescent="0.3">
      <c r="A9" s="1" t="s">
        <v>19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>
        <v>134</v>
      </c>
      <c r="B10" s="1" t="s">
        <v>20</v>
      </c>
      <c r="C10" s="1">
        <v>90</v>
      </c>
      <c r="D10" s="1">
        <f>0.5*C10/100</f>
        <v>0.45</v>
      </c>
      <c r="E10" s="1">
        <f>0.1*C10/100</f>
        <v>0.09</v>
      </c>
      <c r="F10" s="1">
        <f>7.99*C10/100</f>
        <v>7.1909999999999998</v>
      </c>
      <c r="G10" s="1">
        <f>46*C10/100</f>
        <v>41.4</v>
      </c>
      <c r="H10" s="1">
        <f>0.01*C10/100</f>
        <v>9.0000000000000011E-3</v>
      </c>
      <c r="I10" s="1">
        <f>0.01*C10/100</f>
        <v>9.0000000000000011E-3</v>
      </c>
      <c r="J10" s="1">
        <f>2*C10/100</f>
        <v>1.8</v>
      </c>
      <c r="K10" s="1">
        <f>7*C10/100</f>
        <v>6.3</v>
      </c>
      <c r="L10" s="1">
        <f>1.4*C10/100</f>
        <v>1.2599999999999998</v>
      </c>
    </row>
    <row r="11" spans="1:12" x14ac:dyDescent="0.3">
      <c r="A11" s="1">
        <v>17</v>
      </c>
      <c r="B11" s="1" t="s">
        <v>80</v>
      </c>
      <c r="C11" s="1">
        <v>40</v>
      </c>
      <c r="D11" s="1">
        <f>5.44*C11/100</f>
        <v>2.1760000000000002</v>
      </c>
      <c r="E11" s="1">
        <f>7.65*C11/100</f>
        <v>3.06</v>
      </c>
      <c r="F11" s="1">
        <f>15.04*C11/100</f>
        <v>6.0159999999999991</v>
      </c>
      <c r="G11" s="1">
        <f>121.37*C11/100</f>
        <v>48.548000000000002</v>
      </c>
      <c r="H11" s="1">
        <f>0.01*C11/100</f>
        <v>4.0000000000000001E-3</v>
      </c>
      <c r="I11" s="1">
        <f>0.03*C11/100</f>
        <v>1.2E-2</v>
      </c>
      <c r="J11" s="1">
        <f>9.36*C11/100</f>
        <v>3.7439999999999998</v>
      </c>
      <c r="K11" s="1">
        <f>15.2*C11/100</f>
        <v>6.08</v>
      </c>
      <c r="L11" s="1">
        <f>0.72*C11/100</f>
        <v>0.28799999999999998</v>
      </c>
    </row>
    <row r="12" spans="1:12" x14ac:dyDescent="0.3">
      <c r="A12" s="1"/>
      <c r="B12" s="1"/>
      <c r="C12" s="3">
        <f>SUM(C10:C11)</f>
        <v>130</v>
      </c>
      <c r="D12" s="3">
        <f>SUM(D10:D11)</f>
        <v>2.6260000000000003</v>
      </c>
      <c r="E12" s="3">
        <f t="shared" ref="E12:L12" si="1">SUM(E10:E11)</f>
        <v>3.15</v>
      </c>
      <c r="F12" s="3">
        <f t="shared" si="1"/>
        <v>13.206999999999999</v>
      </c>
      <c r="G12" s="3">
        <f t="shared" si="1"/>
        <v>89.948000000000008</v>
      </c>
      <c r="H12" s="3">
        <f t="shared" si="1"/>
        <v>1.3000000000000001E-2</v>
      </c>
      <c r="I12" s="3">
        <f t="shared" si="1"/>
        <v>2.1000000000000001E-2</v>
      </c>
      <c r="J12" s="3">
        <f t="shared" si="1"/>
        <v>5.5439999999999996</v>
      </c>
      <c r="K12" s="3">
        <f t="shared" si="1"/>
        <v>12.379999999999999</v>
      </c>
      <c r="L12" s="3">
        <f t="shared" si="1"/>
        <v>1.5479999999999998</v>
      </c>
    </row>
    <row r="13" spans="1:12" x14ac:dyDescent="0.3">
      <c r="A13" s="1" t="s">
        <v>22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>
        <v>82</v>
      </c>
      <c r="B14" s="1" t="s">
        <v>79</v>
      </c>
      <c r="C14" s="1">
        <v>180</v>
      </c>
      <c r="D14" s="1">
        <f>1.73*C14/100</f>
        <v>3.1139999999999999</v>
      </c>
      <c r="E14" s="1">
        <f>2.02*C14/100</f>
        <v>3.6360000000000001</v>
      </c>
      <c r="F14" s="1">
        <f>12.33*C14/100</f>
        <v>22.194000000000003</v>
      </c>
      <c r="G14" s="1">
        <f>76.9*C14/100</f>
        <v>138.42000000000002</v>
      </c>
      <c r="H14" s="1">
        <f>0*C14/100</f>
        <v>0</v>
      </c>
      <c r="I14" s="1">
        <f>0*C14/100</f>
        <v>0</v>
      </c>
      <c r="J14" s="1">
        <f>5.16*C14/100</f>
        <v>9.2880000000000003</v>
      </c>
      <c r="K14" s="1">
        <f>34.36*C14/100</f>
        <v>61.847999999999999</v>
      </c>
      <c r="L14" s="1">
        <f>0.34*C14/100</f>
        <v>0.61199999999999999</v>
      </c>
    </row>
    <row r="15" spans="1:12" x14ac:dyDescent="0.3">
      <c r="A15" s="1">
        <v>269</v>
      </c>
      <c r="B15" s="1" t="s">
        <v>76</v>
      </c>
      <c r="C15" s="1">
        <v>80</v>
      </c>
      <c r="D15" s="1">
        <f>6.63*C15/100</f>
        <v>5.3039999999999994</v>
      </c>
      <c r="E15" s="1">
        <f>6.01*C15/100</f>
        <v>4.8079999999999998</v>
      </c>
      <c r="F15" s="1">
        <f>10.88*C15/100</f>
        <v>8.7040000000000006</v>
      </c>
      <c r="G15" s="1">
        <f>121.67*C15/100</f>
        <v>97.335999999999999</v>
      </c>
      <c r="H15" s="1">
        <f>0.07*C15/100</f>
        <v>5.6000000000000008E-2</v>
      </c>
      <c r="I15" s="1">
        <f>0.12*C15/100</f>
        <v>9.6000000000000002E-2</v>
      </c>
      <c r="J15" s="1">
        <f>0.38*C15/100</f>
        <v>0.30399999999999999</v>
      </c>
      <c r="K15" s="1">
        <f>53.73*C15/100</f>
        <v>42.983999999999995</v>
      </c>
      <c r="L15" s="1">
        <f>0.72*C15/100</f>
        <v>0.57599999999999996</v>
      </c>
    </row>
    <row r="16" spans="1:12" x14ac:dyDescent="0.3">
      <c r="A16" s="1">
        <v>205</v>
      </c>
      <c r="B16" s="1" t="s">
        <v>54</v>
      </c>
      <c r="C16" s="1">
        <v>70</v>
      </c>
      <c r="D16" s="1">
        <f>3.66*C16/100</f>
        <v>2.5619999999999998</v>
      </c>
      <c r="E16" s="1">
        <f>16.21*C16/100</f>
        <v>11.347000000000001</v>
      </c>
      <c r="F16" s="1">
        <f>11.08*C16/100</f>
        <v>7.7560000000000002</v>
      </c>
      <c r="G16" s="1">
        <f>212.32*C16/100</f>
        <v>148.624</v>
      </c>
      <c r="H16" s="1">
        <f>0.04*C16/100</f>
        <v>2.8000000000000004E-2</v>
      </c>
      <c r="I16" s="1">
        <f>0.02*C16/100</f>
        <v>1.4000000000000002E-2</v>
      </c>
      <c r="J16" s="1">
        <f>0*C16/100</f>
        <v>0</v>
      </c>
      <c r="K16" s="1">
        <f>3.23*C16/100</f>
        <v>2.2610000000000001</v>
      </c>
      <c r="L16" s="1">
        <f>0.74*C16/100</f>
        <v>0.51800000000000002</v>
      </c>
    </row>
    <row r="17" spans="1:12" x14ac:dyDescent="0.3">
      <c r="A17" s="1" t="s">
        <v>17</v>
      </c>
      <c r="B17" s="1" t="s">
        <v>24</v>
      </c>
      <c r="C17" s="1">
        <v>40</v>
      </c>
      <c r="D17" s="1">
        <f>7.9*C17/100</f>
        <v>3.16</v>
      </c>
      <c r="E17" s="1">
        <f>1*C17/100</f>
        <v>0.4</v>
      </c>
      <c r="F17" s="1">
        <f>48.3*C17/100</f>
        <v>19.32</v>
      </c>
      <c r="G17" s="1">
        <f>213.6*C17/100</f>
        <v>85.44</v>
      </c>
      <c r="H17" s="1">
        <f>0.2*C17/100</f>
        <v>0.08</v>
      </c>
      <c r="I17" s="1">
        <f>0*C17/100</f>
        <v>0</v>
      </c>
      <c r="J17" s="1">
        <f t="shared" ref="J17:J18" si="2">0*C17/100</f>
        <v>0</v>
      </c>
      <c r="K17" s="1">
        <f>23*C17/100</f>
        <v>9.1999999999999993</v>
      </c>
      <c r="L17" s="1">
        <f>1.9*C17/100</f>
        <v>0.76</v>
      </c>
    </row>
    <row r="18" spans="1:12" x14ac:dyDescent="0.3">
      <c r="A18" s="1" t="s">
        <v>17</v>
      </c>
      <c r="B18" s="1" t="s">
        <v>25</v>
      </c>
      <c r="C18" s="1">
        <v>30</v>
      </c>
      <c r="D18" s="1">
        <f>13*C18/100</f>
        <v>3.9</v>
      </c>
      <c r="E18" s="1">
        <f>1.2*C18/100</f>
        <v>0.36</v>
      </c>
      <c r="F18" s="1">
        <f>53.1*C18/100</f>
        <v>15.93</v>
      </c>
      <c r="G18" s="1">
        <f>302.7*C18/100</f>
        <v>90.81</v>
      </c>
      <c r="H18" s="1">
        <f>0.8*C18/100</f>
        <v>0.24</v>
      </c>
      <c r="I18" s="1">
        <f>0.2*C18/100</f>
        <v>0.06</v>
      </c>
      <c r="J18" s="1">
        <f t="shared" si="2"/>
        <v>0</v>
      </c>
      <c r="K18" s="1">
        <f>115*C18/100</f>
        <v>34.5</v>
      </c>
      <c r="L18" s="1">
        <f>9.4*C18/100</f>
        <v>2.82</v>
      </c>
    </row>
    <row r="19" spans="1:12" x14ac:dyDescent="0.3">
      <c r="A19" s="1">
        <v>127</v>
      </c>
      <c r="B19" s="1" t="s">
        <v>26</v>
      </c>
      <c r="C19" s="1">
        <v>200</v>
      </c>
      <c r="D19" s="1">
        <f>0.3*C19/100</f>
        <v>0.6</v>
      </c>
      <c r="E19" s="1">
        <f>0.04*C19/100</f>
        <v>0.08</v>
      </c>
      <c r="F19" s="1">
        <f>8.71*C19/100</f>
        <v>17.420000000000002</v>
      </c>
      <c r="G19" s="1">
        <f>34.72*C19/100</f>
        <v>69.44</v>
      </c>
      <c r="H19" s="1">
        <f>0.003*C19/100</f>
        <v>6.0000000000000001E-3</v>
      </c>
      <c r="I19" s="1">
        <f>0.004*C19/100</f>
        <v>8.0000000000000002E-3</v>
      </c>
      <c r="J19" s="1">
        <f>20*C19/100</f>
        <v>40</v>
      </c>
      <c r="K19" s="1">
        <f>3.76*C19/100</f>
        <v>7.52</v>
      </c>
      <c r="L19" s="1">
        <f>0.15*C19/100</f>
        <v>0.3</v>
      </c>
    </row>
    <row r="20" spans="1:12" x14ac:dyDescent="0.3">
      <c r="A20" s="1"/>
      <c r="B20" s="1"/>
      <c r="C20" s="3">
        <f>SUM(C14:C19)</f>
        <v>600</v>
      </c>
      <c r="D20" s="3">
        <f>SUM(D14:D19)</f>
        <v>18.64</v>
      </c>
      <c r="E20" s="3">
        <f t="shared" ref="E20:L20" si="3">SUM(E14:E19)</f>
        <v>20.630999999999997</v>
      </c>
      <c r="F20" s="3">
        <f t="shared" si="3"/>
        <v>91.323999999999998</v>
      </c>
      <c r="G20" s="3">
        <f t="shared" si="3"/>
        <v>630.06999999999994</v>
      </c>
      <c r="H20" s="3">
        <f t="shared" si="3"/>
        <v>0.41000000000000003</v>
      </c>
      <c r="I20" s="3">
        <f t="shared" si="3"/>
        <v>0.17799999999999999</v>
      </c>
      <c r="J20" s="3">
        <f t="shared" si="3"/>
        <v>49.591999999999999</v>
      </c>
      <c r="K20" s="3">
        <f t="shared" si="3"/>
        <v>158.31300000000002</v>
      </c>
      <c r="L20" s="3">
        <f t="shared" si="3"/>
        <v>5.5859999999999994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459</v>
      </c>
      <c r="B22" s="1" t="s">
        <v>70</v>
      </c>
      <c r="C22" s="1">
        <v>100</v>
      </c>
      <c r="D22" s="1">
        <f>1.18*C22/100</f>
        <v>1.18</v>
      </c>
      <c r="E22" s="1">
        <f>2.82*C22/100</f>
        <v>2.82</v>
      </c>
      <c r="F22" s="1">
        <f>8.42*C22/100</f>
        <v>8.42</v>
      </c>
      <c r="G22" s="1">
        <f>72*C22/100</f>
        <v>72</v>
      </c>
      <c r="H22" s="1">
        <f>0.11*C22/100</f>
        <v>0.11</v>
      </c>
      <c r="I22" s="1">
        <f>0.7*C22/100</f>
        <v>0.7</v>
      </c>
      <c r="J22" s="1">
        <f>0.08*C22/100</f>
        <v>0.08</v>
      </c>
      <c r="K22" s="1">
        <f>19.5*C22/100</f>
        <v>19.5</v>
      </c>
      <c r="L22" s="1">
        <f>1.39*C22/100</f>
        <v>1.39</v>
      </c>
    </row>
    <row r="23" spans="1:12" x14ac:dyDescent="0.3">
      <c r="A23" s="1">
        <v>138</v>
      </c>
      <c r="B23" s="1" t="s">
        <v>16</v>
      </c>
      <c r="C23" s="1">
        <v>200</v>
      </c>
      <c r="D23" s="1">
        <f>2.11*C23/100</f>
        <v>4.22</v>
      </c>
      <c r="E23" s="1">
        <f>1.62*C23/100</f>
        <v>3.24</v>
      </c>
      <c r="F23" s="1">
        <f>8.85*C23/100</f>
        <v>17.7</v>
      </c>
      <c r="G23" s="1">
        <f>54.04*C23/100</f>
        <v>108.08</v>
      </c>
      <c r="H23" s="1">
        <f>0.01*C23/100</f>
        <v>0.02</v>
      </c>
      <c r="I23" s="1">
        <f>0.07*C23/100</f>
        <v>0.14000000000000001</v>
      </c>
      <c r="J23" s="1">
        <f>0.33*C23/100</f>
        <v>0.66</v>
      </c>
      <c r="K23" s="1">
        <f>64.05*C23/100</f>
        <v>128.1</v>
      </c>
      <c r="L23" s="1">
        <f>0.32*C23/100</f>
        <v>0.64</v>
      </c>
    </row>
    <row r="24" spans="1:12" x14ac:dyDescent="0.3">
      <c r="A24" s="1"/>
      <c r="B24" s="1"/>
      <c r="C24" s="3">
        <f>SUM(C22:C23)</f>
        <v>300</v>
      </c>
      <c r="D24" s="3">
        <f>SUM(D22:D23)</f>
        <v>5.3999999999999995</v>
      </c>
      <c r="E24" s="3">
        <f t="shared" ref="E24:L24" si="4">SUM(E22:E23)</f>
        <v>6.0600000000000005</v>
      </c>
      <c r="F24" s="3">
        <f t="shared" si="4"/>
        <v>26.119999999999997</v>
      </c>
      <c r="G24" s="3">
        <f t="shared" si="4"/>
        <v>180.07999999999998</v>
      </c>
      <c r="H24" s="3">
        <f t="shared" si="4"/>
        <v>0.13</v>
      </c>
      <c r="I24" s="3">
        <f t="shared" si="4"/>
        <v>0.84</v>
      </c>
      <c r="J24" s="3">
        <f t="shared" si="4"/>
        <v>0.74</v>
      </c>
      <c r="K24" s="3">
        <f t="shared" si="4"/>
        <v>147.6</v>
      </c>
      <c r="L24" s="3">
        <f t="shared" si="4"/>
        <v>2.0299999999999998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>
        <v>134</v>
      </c>
      <c r="B26" s="1" t="s">
        <v>20</v>
      </c>
      <c r="C26" s="1">
        <v>115</v>
      </c>
      <c r="D26" s="1">
        <f>0.5*C26/100</f>
        <v>0.57499999999999996</v>
      </c>
      <c r="E26" s="1">
        <f>0.1*C26/100</f>
        <v>0.115</v>
      </c>
      <c r="F26" s="1">
        <f>10.1*C26/100</f>
        <v>11.615</v>
      </c>
      <c r="G26" s="1">
        <f>46*C26/100</f>
        <v>52.9</v>
      </c>
      <c r="H26" s="1">
        <f>0.01*C26/100</f>
        <v>1.1500000000000002E-2</v>
      </c>
      <c r="I26" s="1">
        <f>0.01*C26/100</f>
        <v>1.1500000000000002E-2</v>
      </c>
      <c r="J26" s="1">
        <f>2*C26/100</f>
        <v>2.2999999999999998</v>
      </c>
      <c r="K26" s="1">
        <f>7*C26/100</f>
        <v>8.0500000000000007</v>
      </c>
      <c r="L26" s="1">
        <f>1.4*C26/100</f>
        <v>1.61</v>
      </c>
    </row>
    <row r="27" spans="1:12" x14ac:dyDescent="0.3">
      <c r="A27" s="1">
        <v>31</v>
      </c>
      <c r="B27" s="1" t="s">
        <v>90</v>
      </c>
      <c r="C27" s="1">
        <v>35</v>
      </c>
      <c r="D27" s="1">
        <f>5.97*C27/100</f>
        <v>2.0894999999999997</v>
      </c>
      <c r="E27" s="1">
        <f>9.06*C27/100</f>
        <v>3.1710000000000003</v>
      </c>
      <c r="F27" s="1">
        <f>4*C27/100</f>
        <v>1.4</v>
      </c>
      <c r="G27" s="1">
        <f>107.35*C27/100</f>
        <v>37.572499999999998</v>
      </c>
      <c r="H27" s="1">
        <f>0.13*C27/100</f>
        <v>4.5499999999999999E-2</v>
      </c>
      <c r="I27" s="1">
        <f t="shared" ref="I27" si="5">0*C27/100</f>
        <v>0</v>
      </c>
      <c r="J27" s="1">
        <f t="shared" ref="J27" si="6">0*C27/100</f>
        <v>0</v>
      </c>
      <c r="K27" s="1">
        <f>20*C27/100</f>
        <v>7</v>
      </c>
      <c r="L27" s="1">
        <f>1.53*C27/100</f>
        <v>0.53550000000000009</v>
      </c>
    </row>
    <row r="28" spans="1:12" x14ac:dyDescent="0.3">
      <c r="A28" s="1"/>
      <c r="B28" s="1"/>
      <c r="C28" s="3">
        <f>SUM(C26:C27)</f>
        <v>150</v>
      </c>
      <c r="D28" s="3">
        <f>SUM(D26:D27)</f>
        <v>2.6644999999999994</v>
      </c>
      <c r="E28" s="3">
        <f t="shared" ref="E28:L28" si="7">SUM(E26:E27)</f>
        <v>3.2860000000000005</v>
      </c>
      <c r="F28" s="3">
        <f t="shared" si="7"/>
        <v>13.015000000000001</v>
      </c>
      <c r="G28" s="3">
        <f t="shared" si="7"/>
        <v>90.472499999999997</v>
      </c>
      <c r="H28" s="3">
        <f t="shared" si="7"/>
        <v>5.7000000000000002E-2</v>
      </c>
      <c r="I28" s="3">
        <f t="shared" si="7"/>
        <v>1.1500000000000002E-2</v>
      </c>
      <c r="J28" s="3">
        <f t="shared" si="7"/>
        <v>2.2999999999999998</v>
      </c>
      <c r="K28" s="3">
        <f t="shared" si="7"/>
        <v>15.05</v>
      </c>
      <c r="L28" s="3">
        <f t="shared" si="7"/>
        <v>2.1455000000000002</v>
      </c>
    </row>
    <row r="29" spans="1:12" x14ac:dyDescent="0.3">
      <c r="A29" s="3"/>
      <c r="B29" s="3" t="s">
        <v>30</v>
      </c>
      <c r="C29" s="3"/>
      <c r="D29" s="3">
        <f>D8+D12+D20+D24+D28</f>
        <v>40.066499999999998</v>
      </c>
      <c r="E29" s="3">
        <f t="shared" ref="E29:L29" si="8">E8+E12+E20+E24+E28</f>
        <v>45.127000000000002</v>
      </c>
      <c r="F29" s="3">
        <f t="shared" si="8"/>
        <v>195.85399999999998</v>
      </c>
      <c r="G29" s="3">
        <f t="shared" si="8"/>
        <v>1350.3785</v>
      </c>
      <c r="H29" s="3">
        <f t="shared" si="8"/>
        <v>1.1539999999999999</v>
      </c>
      <c r="I29" s="3">
        <f t="shared" si="8"/>
        <v>1.3225</v>
      </c>
      <c r="J29" s="3">
        <f t="shared" si="8"/>
        <v>58.175999999999995</v>
      </c>
      <c r="K29" s="3">
        <f t="shared" si="8"/>
        <v>404.22700000000003</v>
      </c>
      <c r="L29" s="3">
        <f t="shared" si="8"/>
        <v>20.017499999999998</v>
      </c>
    </row>
    <row r="30" spans="1:12" ht="15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10" workbookViewId="0">
      <selection activeCell="N21" sqref="N21"/>
    </sheetView>
  </sheetViews>
  <sheetFormatPr defaultRowHeight="14.4" x14ac:dyDescent="0.3"/>
  <cols>
    <col min="1" max="1" width="4.6640625" customWidth="1"/>
    <col min="2" max="2" width="22.109375" customWidth="1"/>
    <col min="3" max="3" width="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71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309</v>
      </c>
      <c r="B5" s="1" t="s">
        <v>14</v>
      </c>
      <c r="C5" s="1">
        <v>180</v>
      </c>
      <c r="D5" s="1">
        <f>2.69*C5/100</f>
        <v>4.8419999999999996</v>
      </c>
      <c r="E5" s="1">
        <f>0.22*C5/100</f>
        <v>0.39600000000000002</v>
      </c>
      <c r="F5" s="1">
        <f>3.48*C5/100</f>
        <v>6.2639999999999993</v>
      </c>
      <c r="G5" s="1">
        <f>83.54*C5/100</f>
        <v>150.37200000000001</v>
      </c>
      <c r="H5" s="1">
        <f>0.023*C5/100</f>
        <v>4.1399999999999999E-2</v>
      </c>
      <c r="I5" s="1">
        <f>0.01*C5/100</f>
        <v>1.8000000000000002E-2</v>
      </c>
      <c r="J5" s="1">
        <f>0*C5/100</f>
        <v>0</v>
      </c>
      <c r="K5" s="1">
        <f>4.4*C5/100</f>
        <v>7.9200000000000008</v>
      </c>
      <c r="L5" s="1">
        <f>0.22*C5/100</f>
        <v>0.39600000000000002</v>
      </c>
    </row>
    <row r="6" spans="1:12" x14ac:dyDescent="0.3">
      <c r="A6" s="1">
        <v>1</v>
      </c>
      <c r="B6" s="1" t="s">
        <v>15</v>
      </c>
      <c r="C6" s="1">
        <v>40</v>
      </c>
      <c r="D6" s="1">
        <f>8.22*C6/100</f>
        <v>3.2880000000000003</v>
      </c>
      <c r="E6" s="1">
        <f>19.88*C6/100</f>
        <v>7.9519999999999991</v>
      </c>
      <c r="F6" s="1">
        <f>36.55*C6/100</f>
        <v>14.62</v>
      </c>
      <c r="G6" s="1">
        <f>340*C6/100</f>
        <v>136</v>
      </c>
      <c r="H6" s="1">
        <f>0.12*C6/100</f>
        <v>4.8000000000000001E-2</v>
      </c>
      <c r="I6" s="1">
        <f>0.08*C6/100</f>
        <v>3.2000000000000001E-2</v>
      </c>
      <c r="J6" s="1">
        <f t="shared" ref="J6" si="0">0*C6/100</f>
        <v>0</v>
      </c>
      <c r="K6" s="1">
        <f>23.25*C6/100</f>
        <v>9.3000000000000007</v>
      </c>
      <c r="L6" s="1">
        <f>1.55*C6/100</f>
        <v>0.62</v>
      </c>
    </row>
    <row r="7" spans="1:12" x14ac:dyDescent="0.3">
      <c r="A7" s="1">
        <v>138</v>
      </c>
      <c r="B7" s="1" t="s">
        <v>16</v>
      </c>
      <c r="C7" s="1">
        <v>180</v>
      </c>
      <c r="D7" s="1">
        <f>1.46*C7/100</f>
        <v>2.6280000000000001</v>
      </c>
      <c r="E7" s="1">
        <f>1.86*C7/100</f>
        <v>3.3480000000000003</v>
      </c>
      <c r="F7" s="1">
        <f>17.39*C7/100</f>
        <v>31.302000000000003</v>
      </c>
      <c r="G7" s="1">
        <f>40.94*C7/100</f>
        <v>73.691999999999993</v>
      </c>
      <c r="H7" s="1">
        <f>0.01*C7/100</f>
        <v>1.8000000000000002E-2</v>
      </c>
      <c r="I7" s="1">
        <f>0.07*C7/100</f>
        <v>0.126</v>
      </c>
      <c r="J7" s="1">
        <f>0.33*C7/100</f>
        <v>0.59400000000000008</v>
      </c>
      <c r="K7" s="1">
        <f>64.05*C7/100</f>
        <v>115.29</v>
      </c>
      <c r="L7" s="1">
        <f>0.32*C7/100</f>
        <v>0.57600000000000007</v>
      </c>
    </row>
    <row r="8" spans="1:12" ht="15" hidden="1" x14ac:dyDescent="0.25">
      <c r="A8" s="1"/>
      <c r="B8" s="1"/>
      <c r="C8" s="1"/>
      <c r="D8" s="1">
        <f>6.92*C8/100</f>
        <v>0</v>
      </c>
      <c r="E8" s="1">
        <f>35.67*C8/100</f>
        <v>0</v>
      </c>
      <c r="F8" s="1">
        <f>52.42*C8/100</f>
        <v>0</v>
      </c>
      <c r="G8" s="1">
        <f>547*C8/100</f>
        <v>0</v>
      </c>
      <c r="H8" s="1">
        <f>0.33*C8/100</f>
        <v>0</v>
      </c>
      <c r="I8" s="1">
        <f t="shared" ref="I8" si="1">0*C8/100</f>
        <v>0</v>
      </c>
      <c r="J8" s="1">
        <f t="shared" ref="J8:J9" si="2">0*C8/100</f>
        <v>0</v>
      </c>
      <c r="K8" s="1">
        <f>186.67*C8/100</f>
        <v>0</v>
      </c>
      <c r="L8" s="1">
        <f>1.83*C8/100</f>
        <v>0</v>
      </c>
    </row>
    <row r="9" spans="1:12" ht="15" hidden="1" x14ac:dyDescent="0.25">
      <c r="A9" s="1"/>
      <c r="B9" s="1"/>
      <c r="C9" s="1"/>
      <c r="D9" s="1">
        <f>6.12*C9/100</f>
        <v>0</v>
      </c>
      <c r="E9" s="1">
        <f>18.88*C9/100</f>
        <v>0</v>
      </c>
      <c r="F9" s="1">
        <f>36.55*C9/100</f>
        <v>0</v>
      </c>
      <c r="G9" s="1">
        <f>340*C9/100</f>
        <v>0</v>
      </c>
      <c r="H9" s="1">
        <f>0.12*C9/100</f>
        <v>0</v>
      </c>
      <c r="I9" s="1">
        <f>0.08*C9/100</f>
        <v>0</v>
      </c>
      <c r="J9" s="1">
        <f t="shared" si="2"/>
        <v>0</v>
      </c>
      <c r="K9" s="1">
        <f>23.25*C9/100</f>
        <v>0</v>
      </c>
      <c r="L9" s="1">
        <f>1.55*C9/100</f>
        <v>0</v>
      </c>
    </row>
    <row r="10" spans="1:12" x14ac:dyDescent="0.3">
      <c r="A10" s="1"/>
      <c r="B10" s="1"/>
      <c r="C10" s="3">
        <f>SUM(C5:C9)</f>
        <v>400</v>
      </c>
      <c r="D10" s="3">
        <f>SUM(D5:D9)</f>
        <v>10.757999999999999</v>
      </c>
      <c r="E10" s="3">
        <f t="shared" ref="E10:L10" si="3">SUM(E5:E9)</f>
        <v>11.696</v>
      </c>
      <c r="F10" s="3">
        <f t="shared" si="3"/>
        <v>52.186000000000007</v>
      </c>
      <c r="G10" s="3">
        <f t="shared" si="3"/>
        <v>360.06400000000002</v>
      </c>
      <c r="H10" s="3">
        <f t="shared" si="3"/>
        <v>0.10740000000000001</v>
      </c>
      <c r="I10" s="3">
        <f t="shared" si="3"/>
        <v>0.17599999999999999</v>
      </c>
      <c r="J10" s="3">
        <f t="shared" si="3"/>
        <v>0.59400000000000008</v>
      </c>
      <c r="K10" s="3">
        <f t="shared" si="3"/>
        <v>132.51000000000002</v>
      </c>
      <c r="L10" s="3">
        <f t="shared" si="3"/>
        <v>1.5920000000000001</v>
      </c>
    </row>
    <row r="11" spans="1:12" x14ac:dyDescent="0.3">
      <c r="A11" s="1" t="s">
        <v>19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>
        <v>134</v>
      </c>
      <c r="B12" s="1" t="s">
        <v>20</v>
      </c>
      <c r="C12" s="1">
        <v>90</v>
      </c>
      <c r="D12" s="1">
        <f>0.5*C12/100</f>
        <v>0.45</v>
      </c>
      <c r="E12" s="1">
        <f>0.1*C12/100</f>
        <v>0.09</v>
      </c>
      <c r="F12" s="1">
        <f>7.99*C12/100</f>
        <v>7.1909999999999998</v>
      </c>
      <c r="G12" s="1">
        <f>46*C12/100</f>
        <v>41.4</v>
      </c>
      <c r="H12" s="1">
        <f>0.01*C12/100</f>
        <v>9.0000000000000011E-3</v>
      </c>
      <c r="I12" s="1">
        <f>0.01*C12/100</f>
        <v>9.0000000000000011E-3</v>
      </c>
      <c r="J12" s="1">
        <f>2*C12/100</f>
        <v>1.8</v>
      </c>
      <c r="K12" s="1">
        <f>7*C12/100</f>
        <v>6.3</v>
      </c>
      <c r="L12" s="1">
        <f>1.4*C12/100</f>
        <v>1.2599999999999998</v>
      </c>
    </row>
    <row r="13" spans="1:12" ht="21.6" x14ac:dyDescent="0.3">
      <c r="A13" s="1">
        <v>17</v>
      </c>
      <c r="B13" s="2" t="s">
        <v>80</v>
      </c>
      <c r="C13" s="1">
        <v>40</v>
      </c>
      <c r="D13" s="1">
        <f>5.54*C13/100</f>
        <v>2.2159999999999997</v>
      </c>
      <c r="E13" s="1">
        <f>8.35*C13/100</f>
        <v>3.34</v>
      </c>
      <c r="F13" s="1">
        <f>14.64*C13/100</f>
        <v>5.8559999999999999</v>
      </c>
      <c r="G13" s="1">
        <f>121.37*C13/100</f>
        <v>48.548000000000002</v>
      </c>
      <c r="H13" s="1">
        <f>0.01*C13/100</f>
        <v>4.0000000000000001E-3</v>
      </c>
      <c r="I13" s="1">
        <f>0.03*C13/100</f>
        <v>1.2E-2</v>
      </c>
      <c r="J13" s="1">
        <f>9.36*C13/100</f>
        <v>3.7439999999999998</v>
      </c>
      <c r="K13" s="1">
        <f>15.2*C13/100</f>
        <v>6.08</v>
      </c>
      <c r="L13" s="1">
        <f>0.72*C13/100</f>
        <v>0.28799999999999998</v>
      </c>
    </row>
    <row r="14" spans="1:12" x14ac:dyDescent="0.3">
      <c r="A14" s="1"/>
      <c r="B14" s="1"/>
      <c r="C14" s="3">
        <f>SUM(C12:C13)</f>
        <v>130</v>
      </c>
      <c r="D14" s="3">
        <f>SUM(D12:D13)</f>
        <v>2.6659999999999999</v>
      </c>
      <c r="E14" s="3">
        <f t="shared" ref="E14:L14" si="4">SUM(E12:E13)</f>
        <v>3.4299999999999997</v>
      </c>
      <c r="F14" s="3">
        <f t="shared" si="4"/>
        <v>13.047000000000001</v>
      </c>
      <c r="G14" s="3">
        <f t="shared" si="4"/>
        <v>89.948000000000008</v>
      </c>
      <c r="H14" s="3">
        <f t="shared" si="4"/>
        <v>1.3000000000000001E-2</v>
      </c>
      <c r="I14" s="3">
        <f t="shared" si="4"/>
        <v>2.1000000000000001E-2</v>
      </c>
      <c r="J14" s="3">
        <f t="shared" si="4"/>
        <v>5.5439999999999996</v>
      </c>
      <c r="K14" s="3">
        <f t="shared" si="4"/>
        <v>12.379999999999999</v>
      </c>
      <c r="L14" s="3">
        <f t="shared" si="4"/>
        <v>1.5479999999999998</v>
      </c>
    </row>
    <row r="15" spans="1:12" x14ac:dyDescent="0.3">
      <c r="A15" s="1" t="s">
        <v>22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21.6" x14ac:dyDescent="0.3">
      <c r="A16" s="1">
        <v>36</v>
      </c>
      <c r="B16" s="2" t="s">
        <v>50</v>
      </c>
      <c r="C16" s="1">
        <v>200</v>
      </c>
      <c r="D16" s="1">
        <f>1.84*C16/100</f>
        <v>3.68</v>
      </c>
      <c r="E16" s="1">
        <f>1.27*C16/100</f>
        <v>2.54</v>
      </c>
      <c r="F16" s="1">
        <f>9.46*C16/100</f>
        <v>18.920000000000002</v>
      </c>
      <c r="G16" s="1">
        <f>59.22*C16/100</f>
        <v>118.44</v>
      </c>
      <c r="H16" s="1">
        <f>0.04*C16/100</f>
        <v>0.08</v>
      </c>
      <c r="I16" s="1">
        <f>0.04*C16/100</f>
        <v>0.08</v>
      </c>
      <c r="J16" s="1">
        <f>1.48*C16/100</f>
        <v>2.96</v>
      </c>
      <c r="K16" s="1">
        <f>11.79*C16/100</f>
        <v>23.58</v>
      </c>
      <c r="L16" s="1">
        <f>0.29*C16/100</f>
        <v>0.57999999999999996</v>
      </c>
    </row>
    <row r="17" spans="1:12" x14ac:dyDescent="0.3">
      <c r="A17" s="1">
        <v>69</v>
      </c>
      <c r="B17" s="1" t="s">
        <v>91</v>
      </c>
      <c r="C17" s="1">
        <v>90</v>
      </c>
      <c r="D17" s="1">
        <f>11.9*C17/100</f>
        <v>10.71</v>
      </c>
      <c r="E17" s="1">
        <f>20.43*C17/100</f>
        <v>18.387</v>
      </c>
      <c r="F17" s="1">
        <f>28.54*C17/100</f>
        <v>25.686</v>
      </c>
      <c r="G17" s="1">
        <f>346.03*C17/100</f>
        <v>311.42699999999996</v>
      </c>
      <c r="H17" s="1">
        <f>0.05*C17/100</f>
        <v>4.4999999999999998E-2</v>
      </c>
      <c r="I17" s="1">
        <f>0.08*C17/100</f>
        <v>7.2000000000000008E-2</v>
      </c>
      <c r="J17" s="1">
        <f>0.71*C17/100</f>
        <v>0.63900000000000001</v>
      </c>
      <c r="K17" s="1">
        <f>36.58*C17/100</f>
        <v>32.921999999999997</v>
      </c>
      <c r="L17" s="1">
        <f>0.8*C17/100</f>
        <v>0.72</v>
      </c>
    </row>
    <row r="18" spans="1:12" x14ac:dyDescent="0.3">
      <c r="A18" s="1" t="s">
        <v>17</v>
      </c>
      <c r="B18" s="1" t="s">
        <v>24</v>
      </c>
      <c r="C18" s="1">
        <v>40</v>
      </c>
      <c r="D18" s="1">
        <f>5.9*C18/100</f>
        <v>2.36</v>
      </c>
      <c r="E18" s="1">
        <f>1*C18/100</f>
        <v>0.4</v>
      </c>
      <c r="F18" s="1">
        <f>48.1*C18/100</f>
        <v>19.239999999999998</v>
      </c>
      <c r="G18" s="1">
        <f>213.6*C18/100</f>
        <v>85.44</v>
      </c>
      <c r="H18" s="1">
        <f>0.2*C18/100</f>
        <v>0.08</v>
      </c>
      <c r="I18" s="1">
        <f>0*C18/100</f>
        <v>0</v>
      </c>
      <c r="J18" s="1">
        <f t="shared" ref="J18" si="5">0*C18/100</f>
        <v>0</v>
      </c>
      <c r="K18" s="1">
        <f>23*C18/100</f>
        <v>9.1999999999999993</v>
      </c>
      <c r="L18" s="1">
        <f>1.9*C18/100</f>
        <v>0.76</v>
      </c>
    </row>
    <row r="19" spans="1:12" ht="21.6" x14ac:dyDescent="0.3">
      <c r="A19" s="1" t="s">
        <v>17</v>
      </c>
      <c r="B19" s="2" t="s">
        <v>60</v>
      </c>
      <c r="C19" s="1">
        <v>40</v>
      </c>
      <c r="D19" s="1">
        <f>2.8*C19/100</f>
        <v>1.1200000000000001</v>
      </c>
      <c r="E19" s="1">
        <f>0*C19/100</f>
        <v>0</v>
      </c>
      <c r="F19" s="1">
        <f>1.3*C19/100</f>
        <v>0.52</v>
      </c>
      <c r="G19" s="1">
        <f>19*C19/100</f>
        <v>7.6</v>
      </c>
      <c r="H19" s="1">
        <f>0*C19/100</f>
        <v>0</v>
      </c>
      <c r="I19" s="1">
        <f>0*C19/100</f>
        <v>0</v>
      </c>
      <c r="J19" s="1">
        <f>0*C19/100</f>
        <v>0</v>
      </c>
      <c r="K19" s="1">
        <f>25*C19/100</f>
        <v>10</v>
      </c>
      <c r="L19" s="1">
        <f>1.2*C19/100</f>
        <v>0.48</v>
      </c>
    </row>
    <row r="20" spans="1:12" x14ac:dyDescent="0.3">
      <c r="A20" s="1">
        <v>126</v>
      </c>
      <c r="B20" s="1" t="s">
        <v>46</v>
      </c>
      <c r="C20" s="1">
        <v>200</v>
      </c>
      <c r="D20" s="1">
        <f>0.52*C20/100</f>
        <v>1.04</v>
      </c>
      <c r="E20" s="1">
        <f>0*C20/100</f>
        <v>0</v>
      </c>
      <c r="F20" s="1">
        <f>13.48*C20/100</f>
        <v>26.96</v>
      </c>
      <c r="G20" s="1">
        <f>53.72*C20/100</f>
        <v>107.44</v>
      </c>
      <c r="H20" s="1">
        <f>0.01*C20/100</f>
        <v>0.02</v>
      </c>
      <c r="I20" s="1">
        <f>0.02*C20/100</f>
        <v>0.04</v>
      </c>
      <c r="J20" s="1">
        <f>0.4*C20/100</f>
        <v>0.8</v>
      </c>
      <c r="K20" s="1">
        <f>20.57*C20/100</f>
        <v>41.14</v>
      </c>
      <c r="L20" s="1">
        <f>0.34*C20/100</f>
        <v>0.68</v>
      </c>
    </row>
    <row r="21" spans="1:12" x14ac:dyDescent="0.3">
      <c r="A21" s="1"/>
      <c r="B21" s="1"/>
      <c r="C21" s="3">
        <f t="shared" ref="C21:L21" si="6">SUM(C16:C20)</f>
        <v>570</v>
      </c>
      <c r="D21" s="3">
        <f t="shared" si="6"/>
        <v>18.91</v>
      </c>
      <c r="E21" s="3">
        <f t="shared" si="6"/>
        <v>21.326999999999998</v>
      </c>
      <c r="F21" s="3">
        <f t="shared" si="6"/>
        <v>91.325999999999993</v>
      </c>
      <c r="G21" s="3">
        <f t="shared" si="6"/>
        <v>630.34699999999998</v>
      </c>
      <c r="H21" s="3">
        <f t="shared" si="6"/>
        <v>0.22500000000000001</v>
      </c>
      <c r="I21" s="3">
        <f t="shared" si="6"/>
        <v>0.19200000000000003</v>
      </c>
      <c r="J21" s="3">
        <f t="shared" si="6"/>
        <v>4.399</v>
      </c>
      <c r="K21" s="3">
        <f t="shared" si="6"/>
        <v>116.842</v>
      </c>
      <c r="L21" s="3">
        <f t="shared" si="6"/>
        <v>3.2199999999999998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54</v>
      </c>
      <c r="B23" s="1" t="s">
        <v>92</v>
      </c>
      <c r="C23" s="1">
        <v>80</v>
      </c>
      <c r="D23" s="1">
        <f>4.48*C23/100</f>
        <v>3.5840000000000005</v>
      </c>
      <c r="E23" s="1">
        <f>5.15*C23/100</f>
        <v>4.12</v>
      </c>
      <c r="F23" s="1">
        <f>20.16*C23/100</f>
        <v>16.128</v>
      </c>
      <c r="G23" s="1">
        <f>152.52*C23/100</f>
        <v>122.01600000000001</v>
      </c>
      <c r="H23" s="1">
        <f>0.08*C23/100</f>
        <v>6.4000000000000001E-2</v>
      </c>
      <c r="I23" s="1">
        <f>0.06*C23/100</f>
        <v>4.8000000000000001E-2</v>
      </c>
      <c r="J23" s="1">
        <f>0.45*C23/100</f>
        <v>0.36</v>
      </c>
      <c r="K23" s="1">
        <f>22*C23/100</f>
        <v>17.600000000000001</v>
      </c>
      <c r="L23" s="1">
        <f>0.95*C23/100</f>
        <v>0.76</v>
      </c>
    </row>
    <row r="24" spans="1:12" x14ac:dyDescent="0.3">
      <c r="A24" s="1">
        <v>138</v>
      </c>
      <c r="B24" s="1" t="s">
        <v>16</v>
      </c>
      <c r="C24" s="1">
        <v>170</v>
      </c>
      <c r="D24" s="1">
        <f>1.06*C24/100</f>
        <v>1.8020000000000003</v>
      </c>
      <c r="E24" s="1">
        <f>1.12*C24/100</f>
        <v>1.9040000000000001</v>
      </c>
      <c r="F24" s="1">
        <f>5.85*C24/100</f>
        <v>9.9449999999999985</v>
      </c>
      <c r="G24" s="1">
        <f>34.14*C24/100</f>
        <v>58.038000000000004</v>
      </c>
      <c r="H24" s="1">
        <f>0.01*C24/100</f>
        <v>1.7000000000000001E-2</v>
      </c>
      <c r="I24" s="1">
        <f>0.07*C24/100</f>
        <v>0.11900000000000001</v>
      </c>
      <c r="J24" s="1">
        <f>0.33*C24/100</f>
        <v>0.56100000000000005</v>
      </c>
      <c r="K24" s="1">
        <f>64.05*C24/100</f>
        <v>108.88500000000001</v>
      </c>
      <c r="L24" s="1">
        <f>0.32*C24/100</f>
        <v>0.54400000000000004</v>
      </c>
    </row>
    <row r="25" spans="1:12" x14ac:dyDescent="0.3">
      <c r="A25" s="1"/>
      <c r="B25" s="1"/>
      <c r="C25" s="3">
        <f>SUM(C23:C24)</f>
        <v>250</v>
      </c>
      <c r="D25" s="3">
        <f>SUM(D23:D24)</f>
        <v>5.386000000000001</v>
      </c>
      <c r="E25" s="3">
        <f t="shared" ref="E25:L25" si="7">SUM(E23:E24)</f>
        <v>6.024</v>
      </c>
      <c r="F25" s="3">
        <f t="shared" si="7"/>
        <v>26.073</v>
      </c>
      <c r="G25" s="3">
        <f t="shared" si="7"/>
        <v>180.054</v>
      </c>
      <c r="H25" s="3">
        <f t="shared" si="7"/>
        <v>8.1000000000000003E-2</v>
      </c>
      <c r="I25" s="3">
        <f t="shared" si="7"/>
        <v>0.16700000000000001</v>
      </c>
      <c r="J25" s="3">
        <f t="shared" si="7"/>
        <v>0.92100000000000004</v>
      </c>
      <c r="K25" s="3">
        <f t="shared" si="7"/>
        <v>126.48500000000001</v>
      </c>
      <c r="L25" s="3">
        <f t="shared" si="7"/>
        <v>1.304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 t="s">
        <v>17</v>
      </c>
      <c r="B27" s="1" t="s">
        <v>21</v>
      </c>
      <c r="C27" s="1">
        <v>50</v>
      </c>
      <c r="D27" s="1">
        <v>2.25</v>
      </c>
      <c r="E27" s="1">
        <v>2.98</v>
      </c>
      <c r="F27" s="1">
        <v>5.52</v>
      </c>
      <c r="G27" s="1">
        <v>58.9</v>
      </c>
      <c r="H27" s="1">
        <v>1.3000000000000001E-2</v>
      </c>
      <c r="I27" s="1">
        <v>0</v>
      </c>
      <c r="J27" s="1">
        <v>0</v>
      </c>
      <c r="K27" s="1">
        <v>2</v>
      </c>
      <c r="L27" s="1">
        <v>0.153</v>
      </c>
    </row>
    <row r="28" spans="1:12" x14ac:dyDescent="0.3">
      <c r="A28" s="1" t="s">
        <v>17</v>
      </c>
      <c r="B28" s="1" t="s">
        <v>57</v>
      </c>
      <c r="C28" s="1">
        <v>100</v>
      </c>
      <c r="D28" s="1">
        <v>0.45</v>
      </c>
      <c r="E28" s="1">
        <v>0</v>
      </c>
      <c r="F28" s="1">
        <v>7.5329999999999995</v>
      </c>
      <c r="G28" s="1">
        <v>31.5</v>
      </c>
      <c r="H28" s="1">
        <v>1.8000000000000002E-2</v>
      </c>
      <c r="I28" s="1">
        <v>3.6000000000000004E-2</v>
      </c>
      <c r="J28" s="1">
        <v>3.6</v>
      </c>
      <c r="K28" s="1">
        <v>10.8</v>
      </c>
      <c r="L28" s="1">
        <v>0.62999999999999989</v>
      </c>
    </row>
    <row r="29" spans="1:12" x14ac:dyDescent="0.3">
      <c r="A29" s="1"/>
      <c r="B29" s="1"/>
      <c r="C29" s="3">
        <f>SUM(C27:C28)</f>
        <v>150</v>
      </c>
      <c r="D29" s="3">
        <f>SUM(D27:D28)</f>
        <v>2.7</v>
      </c>
      <c r="E29" s="3">
        <f t="shared" ref="E29:L29" si="8">SUM(E27:E28)</f>
        <v>2.98</v>
      </c>
      <c r="F29" s="3">
        <f t="shared" si="8"/>
        <v>13.052999999999999</v>
      </c>
      <c r="G29" s="3">
        <f t="shared" si="8"/>
        <v>90.4</v>
      </c>
      <c r="H29" s="3">
        <f t="shared" si="8"/>
        <v>3.1000000000000003E-2</v>
      </c>
      <c r="I29" s="3">
        <f t="shared" si="8"/>
        <v>3.6000000000000004E-2</v>
      </c>
      <c r="J29" s="3">
        <f t="shared" si="8"/>
        <v>3.6</v>
      </c>
      <c r="K29" s="3">
        <f t="shared" si="8"/>
        <v>12.8</v>
      </c>
      <c r="L29" s="3">
        <f t="shared" si="8"/>
        <v>0.78299999999999992</v>
      </c>
    </row>
    <row r="30" spans="1:12" x14ac:dyDescent="0.3">
      <c r="A30" s="3"/>
      <c r="B30" s="3" t="s">
        <v>30</v>
      </c>
      <c r="C30" s="3"/>
      <c r="D30" s="3">
        <f>D10+D14+D21+D25+D29</f>
        <v>40.420000000000009</v>
      </c>
      <c r="E30" s="3">
        <f t="shared" ref="E30:L30" si="9">E10+E14+E21+E25+E29</f>
        <v>45.456999999999994</v>
      </c>
      <c r="F30" s="3">
        <f t="shared" si="9"/>
        <v>195.685</v>
      </c>
      <c r="G30" s="3">
        <f t="shared" si="9"/>
        <v>1350.8130000000001</v>
      </c>
      <c r="H30" s="3">
        <f t="shared" si="9"/>
        <v>0.45740000000000008</v>
      </c>
      <c r="I30" s="3">
        <f t="shared" si="9"/>
        <v>0.59200000000000008</v>
      </c>
      <c r="J30" s="3">
        <f t="shared" si="9"/>
        <v>15.057999999999998</v>
      </c>
      <c r="K30" s="3">
        <f t="shared" si="9"/>
        <v>401.01700000000005</v>
      </c>
      <c r="L30" s="3">
        <f t="shared" si="9"/>
        <v>8.4469999999999992</v>
      </c>
    </row>
    <row r="31" spans="1:12" ht="15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Шура</dc:creator>
  <cp:lastModifiedBy>admin</cp:lastModifiedBy>
  <cp:lastPrinted>2008-12-23T03:33:33Z</cp:lastPrinted>
  <dcterms:created xsi:type="dcterms:W3CDTF">2008-12-08T22:01:38Z</dcterms:created>
  <dcterms:modified xsi:type="dcterms:W3CDTF">2021-05-20T14:37:10Z</dcterms:modified>
</cp:coreProperties>
</file>