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" windowWidth="13392" windowHeight="7740" activeTab="7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  <sheet name="Лист8" sheetId="8" r:id="rId8"/>
    <sheet name="Лист9" sheetId="9" r:id="rId9"/>
    <sheet name="Лист10" sheetId="10" r:id="rId10"/>
  </sheets>
  <calcPr calcId="144525"/>
</workbook>
</file>

<file path=xl/calcChain.xml><?xml version="1.0" encoding="utf-8"?>
<calcChain xmlns="http://schemas.openxmlformats.org/spreadsheetml/2006/main">
  <c r="C27" i="10" l="1"/>
  <c r="D23" i="5"/>
  <c r="E23" i="5"/>
  <c r="F23" i="5"/>
  <c r="G23" i="5"/>
  <c r="H23" i="5"/>
  <c r="I23" i="5"/>
  <c r="J23" i="5"/>
  <c r="K23" i="5"/>
  <c r="L23" i="5"/>
  <c r="D24" i="5"/>
  <c r="E24" i="5"/>
  <c r="F24" i="5"/>
  <c r="G24" i="5"/>
  <c r="H24" i="5"/>
  <c r="I24" i="5"/>
  <c r="J24" i="5"/>
  <c r="K24" i="5"/>
  <c r="L24" i="5"/>
  <c r="G21" i="10"/>
  <c r="F21" i="10"/>
  <c r="E21" i="10"/>
  <c r="D21" i="10"/>
  <c r="C23" i="10"/>
  <c r="G15" i="10"/>
  <c r="F15" i="10"/>
  <c r="E15" i="10"/>
  <c r="D15" i="10"/>
  <c r="L16" i="10"/>
  <c r="K16" i="10"/>
  <c r="J16" i="10"/>
  <c r="I16" i="10"/>
  <c r="H16" i="10"/>
  <c r="G16" i="10"/>
  <c r="F16" i="10"/>
  <c r="E16" i="10"/>
  <c r="D16" i="10"/>
  <c r="C19" i="10"/>
  <c r="C12" i="10"/>
  <c r="L11" i="10"/>
  <c r="K11" i="10"/>
  <c r="J11" i="10"/>
  <c r="I11" i="10"/>
  <c r="H11" i="10"/>
  <c r="G11" i="10"/>
  <c r="F11" i="10"/>
  <c r="E11" i="10"/>
  <c r="D11" i="10"/>
  <c r="L10" i="10"/>
  <c r="K10" i="10"/>
  <c r="J10" i="10"/>
  <c r="I10" i="10"/>
  <c r="H10" i="10"/>
  <c r="G10" i="10"/>
  <c r="F10" i="10"/>
  <c r="E10" i="10"/>
  <c r="D10" i="10"/>
  <c r="C8" i="10"/>
  <c r="L7" i="10"/>
  <c r="K7" i="10"/>
  <c r="J7" i="10"/>
  <c r="I7" i="10"/>
  <c r="H7" i="10"/>
  <c r="G7" i="10"/>
  <c r="F7" i="10"/>
  <c r="E7" i="10"/>
  <c r="D7" i="10"/>
  <c r="L6" i="10"/>
  <c r="K6" i="10"/>
  <c r="J6" i="10"/>
  <c r="I6" i="10"/>
  <c r="H6" i="10"/>
  <c r="G6" i="10"/>
  <c r="F6" i="10"/>
  <c r="E6" i="10"/>
  <c r="D6" i="10"/>
  <c r="L5" i="10"/>
  <c r="K5" i="10"/>
  <c r="J5" i="10"/>
  <c r="I5" i="10"/>
  <c r="H5" i="10"/>
  <c r="G5" i="10"/>
  <c r="F5" i="10"/>
  <c r="E5" i="10"/>
  <c r="D5" i="10"/>
  <c r="G23" i="9"/>
  <c r="G27" i="9"/>
  <c r="F27" i="9"/>
  <c r="E27" i="9"/>
  <c r="D27" i="9"/>
  <c r="L27" i="9"/>
  <c r="K27" i="9"/>
  <c r="J27" i="9"/>
  <c r="I27" i="9"/>
  <c r="H27" i="9"/>
  <c r="C28" i="9"/>
  <c r="G22" i="9"/>
  <c r="F22" i="9"/>
  <c r="E22" i="9"/>
  <c r="D22" i="9"/>
  <c r="C24" i="9"/>
  <c r="G16" i="9"/>
  <c r="F16" i="9"/>
  <c r="E16" i="9"/>
  <c r="D15" i="9"/>
  <c r="L18" i="9"/>
  <c r="K18" i="9"/>
  <c r="J18" i="9"/>
  <c r="I18" i="9"/>
  <c r="H18" i="9"/>
  <c r="G18" i="9"/>
  <c r="F18" i="9"/>
  <c r="E18" i="9"/>
  <c r="D18" i="9"/>
  <c r="C20" i="9"/>
  <c r="L14" i="9"/>
  <c r="K14" i="9"/>
  <c r="J14" i="9"/>
  <c r="I14" i="9"/>
  <c r="H14" i="9"/>
  <c r="G14" i="9"/>
  <c r="F14" i="9"/>
  <c r="E14" i="9"/>
  <c r="D14" i="9"/>
  <c r="C12" i="9"/>
  <c r="L11" i="9"/>
  <c r="K11" i="9"/>
  <c r="J11" i="9"/>
  <c r="I11" i="9"/>
  <c r="H11" i="9"/>
  <c r="G11" i="9"/>
  <c r="F11" i="9"/>
  <c r="E11" i="9"/>
  <c r="D11" i="9"/>
  <c r="L10" i="9"/>
  <c r="K10" i="9"/>
  <c r="J10" i="9"/>
  <c r="I10" i="9"/>
  <c r="H10" i="9"/>
  <c r="G10" i="9"/>
  <c r="F10" i="9"/>
  <c r="E10" i="9"/>
  <c r="D10" i="9"/>
  <c r="C8" i="9"/>
  <c r="L7" i="9"/>
  <c r="K7" i="9"/>
  <c r="J7" i="9"/>
  <c r="I7" i="9"/>
  <c r="H7" i="9"/>
  <c r="G7" i="9"/>
  <c r="F7" i="9"/>
  <c r="E7" i="9"/>
  <c r="D7" i="9"/>
  <c r="L6" i="9"/>
  <c r="K6" i="9"/>
  <c r="J6" i="9"/>
  <c r="I6" i="9"/>
  <c r="H6" i="9"/>
  <c r="G6" i="9"/>
  <c r="F6" i="9"/>
  <c r="E6" i="9"/>
  <c r="D6" i="9"/>
  <c r="L5" i="9"/>
  <c r="K5" i="9"/>
  <c r="J5" i="9"/>
  <c r="I5" i="9"/>
  <c r="H5" i="9"/>
  <c r="G5" i="9"/>
  <c r="F5" i="9"/>
  <c r="E5" i="9"/>
  <c r="D5" i="9"/>
  <c r="G27" i="8"/>
  <c r="F27" i="8"/>
  <c r="L28" i="8"/>
  <c r="K28" i="8"/>
  <c r="J28" i="8"/>
  <c r="I28" i="8"/>
  <c r="H28" i="8"/>
  <c r="G28" i="8"/>
  <c r="F28" i="8"/>
  <c r="E28" i="8"/>
  <c r="D28" i="8"/>
  <c r="C29" i="8"/>
  <c r="G23" i="8"/>
  <c r="F23" i="8"/>
  <c r="E23" i="8"/>
  <c r="D23" i="8"/>
  <c r="C25" i="8"/>
  <c r="G17" i="8"/>
  <c r="G16" i="8"/>
  <c r="F16" i="8"/>
  <c r="E16" i="8"/>
  <c r="D16" i="8"/>
  <c r="G20" i="8"/>
  <c r="F20" i="8"/>
  <c r="E20" i="8"/>
  <c r="D20" i="8"/>
  <c r="C21" i="8"/>
  <c r="L17" i="8"/>
  <c r="K17" i="8"/>
  <c r="J17" i="8"/>
  <c r="I17" i="8"/>
  <c r="H17" i="8"/>
  <c r="F17" i="8"/>
  <c r="E17" i="8"/>
  <c r="D17" i="8"/>
  <c r="L16" i="8"/>
  <c r="K16" i="8"/>
  <c r="J16" i="8"/>
  <c r="I16" i="8"/>
  <c r="H16" i="8"/>
  <c r="L15" i="8"/>
  <c r="K15" i="8"/>
  <c r="J15" i="8"/>
  <c r="I15" i="8"/>
  <c r="H15" i="8"/>
  <c r="G15" i="8"/>
  <c r="F15" i="8"/>
  <c r="E15" i="8"/>
  <c r="D15" i="8"/>
  <c r="C13" i="8"/>
  <c r="L12" i="8"/>
  <c r="K12" i="8"/>
  <c r="J12" i="8"/>
  <c r="I12" i="8"/>
  <c r="H12" i="8"/>
  <c r="G12" i="8"/>
  <c r="F12" i="8"/>
  <c r="E12" i="8"/>
  <c r="D12" i="8"/>
  <c r="L11" i="8"/>
  <c r="K11" i="8"/>
  <c r="J11" i="8"/>
  <c r="I11" i="8"/>
  <c r="H11" i="8"/>
  <c r="G11" i="8"/>
  <c r="F11" i="8"/>
  <c r="E11" i="8"/>
  <c r="D11" i="8"/>
  <c r="G5" i="8"/>
  <c r="F5" i="8"/>
  <c r="F6" i="8"/>
  <c r="F8" i="8"/>
  <c r="E5" i="8"/>
  <c r="D5" i="8"/>
  <c r="L8" i="8"/>
  <c r="K8" i="8"/>
  <c r="J8" i="8"/>
  <c r="I8" i="8"/>
  <c r="H8" i="8"/>
  <c r="G8" i="8"/>
  <c r="E8" i="8"/>
  <c r="D8" i="8"/>
  <c r="L6" i="8"/>
  <c r="K6" i="8"/>
  <c r="J6" i="8"/>
  <c r="I6" i="8"/>
  <c r="H6" i="8"/>
  <c r="G6" i="8"/>
  <c r="E6" i="8"/>
  <c r="D6" i="8"/>
  <c r="C9" i="8"/>
  <c r="G27" i="7"/>
  <c r="G26" i="7"/>
  <c r="F26" i="7"/>
  <c r="E26" i="7"/>
  <c r="D26" i="7"/>
  <c r="L27" i="7"/>
  <c r="K27" i="7"/>
  <c r="J27" i="7"/>
  <c r="I27" i="7"/>
  <c r="H27" i="7"/>
  <c r="F27" i="7"/>
  <c r="E27" i="7"/>
  <c r="D27" i="7"/>
  <c r="C28" i="7"/>
  <c r="G22" i="7"/>
  <c r="F22" i="7"/>
  <c r="E22" i="7"/>
  <c r="D22" i="7"/>
  <c r="C24" i="7"/>
  <c r="L23" i="7"/>
  <c r="K23" i="7"/>
  <c r="J23" i="7"/>
  <c r="I23" i="7"/>
  <c r="H23" i="7"/>
  <c r="G23" i="7"/>
  <c r="F23" i="7"/>
  <c r="E23" i="7"/>
  <c r="D23" i="7"/>
  <c r="G15" i="7"/>
  <c r="F15" i="7"/>
  <c r="E15" i="7"/>
  <c r="D15" i="7"/>
  <c r="C20" i="7"/>
  <c r="L18" i="7"/>
  <c r="K18" i="7"/>
  <c r="J18" i="7"/>
  <c r="I18" i="7"/>
  <c r="H18" i="7"/>
  <c r="G18" i="7"/>
  <c r="F18" i="7"/>
  <c r="E18" i="7"/>
  <c r="D18" i="7"/>
  <c r="G17" i="7"/>
  <c r="F17" i="7"/>
  <c r="E17" i="7"/>
  <c r="D17" i="7"/>
  <c r="C12" i="7"/>
  <c r="L11" i="7"/>
  <c r="K11" i="7"/>
  <c r="J11" i="7"/>
  <c r="I11" i="7"/>
  <c r="H11" i="7"/>
  <c r="G11" i="7"/>
  <c r="F11" i="7"/>
  <c r="E11" i="7"/>
  <c r="D11" i="7"/>
  <c r="L10" i="7"/>
  <c r="K10" i="7"/>
  <c r="J10" i="7"/>
  <c r="I10" i="7"/>
  <c r="H10" i="7"/>
  <c r="G10" i="7"/>
  <c r="F10" i="7"/>
  <c r="E10" i="7"/>
  <c r="D10" i="7"/>
  <c r="G5" i="7"/>
  <c r="F5" i="7"/>
  <c r="E5" i="7"/>
  <c r="D5" i="7"/>
  <c r="L6" i="7"/>
  <c r="K6" i="7"/>
  <c r="J6" i="7"/>
  <c r="I6" i="7"/>
  <c r="H6" i="7"/>
  <c r="G6" i="7"/>
  <c r="F6" i="7"/>
  <c r="E6" i="7"/>
  <c r="D6" i="7"/>
  <c r="L7" i="7"/>
  <c r="K7" i="7"/>
  <c r="J7" i="7"/>
  <c r="I7" i="7"/>
  <c r="H7" i="7"/>
  <c r="G7" i="7"/>
  <c r="F7" i="7"/>
  <c r="E7" i="7"/>
  <c r="D7" i="7"/>
  <c r="C8" i="7"/>
  <c r="G26" i="6"/>
  <c r="F26" i="6"/>
  <c r="E26" i="6"/>
  <c r="D26" i="6"/>
  <c r="G22" i="6"/>
  <c r="F22" i="6"/>
  <c r="E22" i="6"/>
  <c r="D22" i="6"/>
  <c r="L23" i="6"/>
  <c r="K23" i="6"/>
  <c r="J23" i="6"/>
  <c r="I23" i="6"/>
  <c r="H23" i="6"/>
  <c r="G23" i="6"/>
  <c r="F23" i="6"/>
  <c r="E23" i="6"/>
  <c r="D23" i="6"/>
  <c r="G17" i="6"/>
  <c r="G16" i="6"/>
  <c r="G18" i="6"/>
  <c r="F16" i="6"/>
  <c r="F17" i="6"/>
  <c r="E16" i="6"/>
  <c r="D16" i="6"/>
  <c r="L15" i="6"/>
  <c r="K15" i="6"/>
  <c r="J15" i="6"/>
  <c r="I15" i="6"/>
  <c r="H15" i="6"/>
  <c r="G15" i="6"/>
  <c r="F15" i="6"/>
  <c r="E15" i="6"/>
  <c r="D15" i="6"/>
  <c r="L12" i="6"/>
  <c r="K12" i="6"/>
  <c r="J12" i="6"/>
  <c r="I12" i="6"/>
  <c r="H12" i="6"/>
  <c r="G12" i="6"/>
  <c r="F12" i="6"/>
  <c r="E12" i="6"/>
  <c r="D12" i="6"/>
  <c r="L11" i="6"/>
  <c r="K11" i="6"/>
  <c r="J11" i="6"/>
  <c r="I11" i="6"/>
  <c r="H11" i="6"/>
  <c r="G11" i="6"/>
  <c r="F11" i="6"/>
  <c r="E11" i="6"/>
  <c r="D11" i="6"/>
  <c r="G5" i="6"/>
  <c r="G6" i="6"/>
  <c r="E5" i="6"/>
  <c r="E6" i="6"/>
  <c r="D5" i="6"/>
  <c r="L7" i="6"/>
  <c r="K7" i="6"/>
  <c r="J7" i="6"/>
  <c r="I7" i="6"/>
  <c r="H7" i="6"/>
  <c r="G7" i="6"/>
  <c r="F7" i="6"/>
  <c r="E7" i="6"/>
  <c r="D7" i="6"/>
  <c r="F6" i="6"/>
  <c r="D6" i="6"/>
  <c r="G11" i="3"/>
  <c r="F10" i="3"/>
  <c r="F11" i="3"/>
  <c r="E11" i="3"/>
  <c r="D11" i="3"/>
  <c r="C28" i="6"/>
  <c r="C24" i="6"/>
  <c r="C20" i="6"/>
  <c r="C13" i="6"/>
  <c r="C9" i="6"/>
  <c r="H26" i="6"/>
  <c r="I26" i="6"/>
  <c r="J26" i="6"/>
  <c r="K26" i="6"/>
  <c r="L26" i="6"/>
  <c r="G27" i="5"/>
  <c r="G28" i="5"/>
  <c r="F28" i="5"/>
  <c r="F27" i="5"/>
  <c r="E27" i="5"/>
  <c r="D27" i="5"/>
  <c r="G16" i="5"/>
  <c r="G17" i="5"/>
  <c r="G15" i="5"/>
  <c r="F18" i="5"/>
  <c r="F17" i="5"/>
  <c r="F15" i="5"/>
  <c r="E18" i="5"/>
  <c r="E16" i="5"/>
  <c r="E17" i="5"/>
  <c r="D16" i="5"/>
  <c r="D17" i="5"/>
  <c r="G12" i="5"/>
  <c r="F11" i="5"/>
  <c r="F12" i="5"/>
  <c r="E12" i="5"/>
  <c r="D12" i="5"/>
  <c r="L12" i="5"/>
  <c r="K12" i="5"/>
  <c r="J12" i="5"/>
  <c r="D11" i="2"/>
  <c r="D10" i="2"/>
  <c r="L10" i="2"/>
  <c r="K10" i="2"/>
  <c r="J10" i="2"/>
  <c r="I10" i="2"/>
  <c r="H10" i="2"/>
  <c r="G10" i="2"/>
  <c r="F10" i="2"/>
  <c r="E10" i="2"/>
  <c r="G7" i="5" l="1"/>
  <c r="F7" i="5"/>
  <c r="E7" i="5"/>
  <c r="E6" i="5"/>
  <c r="D6" i="5"/>
  <c r="D7" i="5"/>
  <c r="C29" i="5"/>
  <c r="C25" i="5"/>
  <c r="C21" i="5"/>
  <c r="C13" i="5"/>
  <c r="C9" i="5"/>
  <c r="G26" i="3" l="1"/>
  <c r="F26" i="3"/>
  <c r="E26" i="3"/>
  <c r="D26" i="3"/>
  <c r="C28" i="3"/>
  <c r="G22" i="3"/>
  <c r="G23" i="3"/>
  <c r="F22" i="3"/>
  <c r="F23" i="3"/>
  <c r="E23" i="3"/>
  <c r="D22" i="3"/>
  <c r="D23" i="3"/>
  <c r="C24" i="3"/>
  <c r="G17" i="3"/>
  <c r="G16" i="3"/>
  <c r="F15" i="3"/>
  <c r="F14" i="3"/>
  <c r="F17" i="3"/>
  <c r="F16" i="3"/>
  <c r="E17" i="3"/>
  <c r="E16" i="3"/>
  <c r="E15" i="3"/>
  <c r="D18" i="3"/>
  <c r="D15" i="3"/>
  <c r="C20" i="3"/>
  <c r="G10" i="3"/>
  <c r="C12" i="3"/>
  <c r="G7" i="3"/>
  <c r="G5" i="3"/>
  <c r="G6" i="3"/>
  <c r="F5" i="3"/>
  <c r="F6" i="3"/>
  <c r="E7" i="3"/>
  <c r="E6" i="3"/>
  <c r="E5" i="3"/>
  <c r="D7" i="3"/>
  <c r="D6" i="3"/>
  <c r="D5" i="3"/>
  <c r="C8" i="3"/>
  <c r="D16" i="4"/>
  <c r="G12" i="4"/>
  <c r="F12" i="4"/>
  <c r="F11" i="4"/>
  <c r="E12" i="4"/>
  <c r="D12" i="4"/>
  <c r="G5" i="4"/>
  <c r="G7" i="4"/>
  <c r="G6" i="4"/>
  <c r="F5" i="4"/>
  <c r="E7" i="4"/>
  <c r="F7" i="4"/>
  <c r="F6" i="4"/>
  <c r="E5" i="4"/>
  <c r="D5" i="4"/>
  <c r="D7" i="4"/>
  <c r="C13" i="4"/>
  <c r="C9" i="4"/>
  <c r="G27" i="4"/>
  <c r="F28" i="4"/>
  <c r="F27" i="4"/>
  <c r="E27" i="4"/>
  <c r="D27" i="4"/>
  <c r="C29" i="4"/>
  <c r="L27" i="4"/>
  <c r="K27" i="4"/>
  <c r="J27" i="4"/>
  <c r="I27" i="4"/>
  <c r="H27" i="4"/>
  <c r="G24" i="4"/>
  <c r="G23" i="4"/>
  <c r="F23" i="4"/>
  <c r="F24" i="4"/>
  <c r="E23" i="4"/>
  <c r="D23" i="4"/>
  <c r="D24" i="4"/>
  <c r="L24" i="4"/>
  <c r="K24" i="4"/>
  <c r="J24" i="4"/>
  <c r="I24" i="4"/>
  <c r="H24" i="4"/>
  <c r="E24" i="4"/>
  <c r="H23" i="3"/>
  <c r="I23" i="3"/>
  <c r="J23" i="3"/>
  <c r="K23" i="3"/>
  <c r="L23" i="3"/>
  <c r="C25" i="4"/>
  <c r="G19" i="4"/>
  <c r="G18" i="4"/>
  <c r="G15" i="4"/>
  <c r="G16" i="4"/>
  <c r="G17" i="4"/>
  <c r="F15" i="4"/>
  <c r="E16" i="4"/>
  <c r="E17" i="4"/>
  <c r="E18" i="4"/>
  <c r="E15" i="4"/>
  <c r="D15" i="4"/>
  <c r="C21" i="4"/>
  <c r="L15" i="4"/>
  <c r="K15" i="4"/>
  <c r="J15" i="4"/>
  <c r="H22" i="1"/>
  <c r="H15" i="1"/>
  <c r="G26" i="2"/>
  <c r="F26" i="2"/>
  <c r="E27" i="2"/>
  <c r="E26" i="2"/>
  <c r="D26" i="2"/>
  <c r="C28" i="2"/>
  <c r="G23" i="2"/>
  <c r="G22" i="2"/>
  <c r="F23" i="2"/>
  <c r="F22" i="2"/>
  <c r="E22" i="2"/>
  <c r="C24" i="2"/>
  <c r="L23" i="2"/>
  <c r="K23" i="2"/>
  <c r="J23" i="2"/>
  <c r="I23" i="2"/>
  <c r="H23" i="2"/>
  <c r="E23" i="2"/>
  <c r="D23" i="2"/>
  <c r="L22" i="2"/>
  <c r="K22" i="2"/>
  <c r="J22" i="2"/>
  <c r="D22" i="2"/>
  <c r="G16" i="2"/>
  <c r="G15" i="2"/>
  <c r="G17" i="2"/>
  <c r="F17" i="2"/>
  <c r="F15" i="2"/>
  <c r="F18" i="2"/>
  <c r="F16" i="2"/>
  <c r="E17" i="2"/>
  <c r="E16" i="2"/>
  <c r="E15" i="2"/>
  <c r="D19" i="2"/>
  <c r="C20" i="2"/>
  <c r="G11" i="2"/>
  <c r="F11" i="2"/>
  <c r="E11" i="2"/>
  <c r="C12" i="2"/>
  <c r="G7" i="2"/>
  <c r="G6" i="2"/>
  <c r="F7" i="2"/>
  <c r="F6" i="2"/>
  <c r="E6" i="2"/>
  <c r="E7" i="2"/>
  <c r="D7" i="2"/>
  <c r="D5" i="2"/>
  <c r="C8" i="2"/>
  <c r="G27" i="1"/>
  <c r="F27" i="1"/>
  <c r="E27" i="1"/>
  <c r="D27" i="1"/>
  <c r="C28" i="1"/>
  <c r="G23" i="1"/>
  <c r="G22" i="1"/>
  <c r="F23" i="1"/>
  <c r="F22" i="1"/>
  <c r="E22" i="1"/>
  <c r="D22" i="1"/>
  <c r="D23" i="1"/>
  <c r="C24" i="1"/>
  <c r="G16" i="1"/>
  <c r="G15" i="1"/>
  <c r="F19" i="1"/>
  <c r="F18" i="1"/>
  <c r="F17" i="1"/>
  <c r="F16" i="1"/>
  <c r="E15" i="1"/>
  <c r="E16" i="1"/>
  <c r="D16" i="1"/>
  <c r="D17" i="1"/>
  <c r="D15" i="1"/>
  <c r="D18" i="1"/>
  <c r="C20" i="1"/>
  <c r="G12" i="1"/>
  <c r="F12" i="1"/>
  <c r="F11" i="1"/>
  <c r="E12" i="1"/>
  <c r="D12" i="1"/>
  <c r="C13" i="1"/>
  <c r="G6" i="1"/>
  <c r="F6" i="1"/>
  <c r="E6" i="1"/>
  <c r="D6" i="1"/>
  <c r="H6" i="1"/>
  <c r="G8" i="1"/>
  <c r="F8" i="1"/>
  <c r="F7" i="1"/>
  <c r="F5" i="1"/>
  <c r="E8" i="1"/>
  <c r="G5" i="1"/>
  <c r="G7" i="1"/>
  <c r="C9" i="1"/>
  <c r="H5" i="1" l="1"/>
  <c r="I5" i="1"/>
  <c r="J5" i="1"/>
  <c r="K5" i="1"/>
  <c r="L5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L16" i="3" l="1"/>
  <c r="K16" i="3"/>
  <c r="I16" i="3"/>
  <c r="H16" i="3"/>
  <c r="D16" i="3"/>
  <c r="L5" i="4"/>
  <c r="K5" i="4"/>
  <c r="J5" i="4"/>
  <c r="I5" i="4"/>
  <c r="H5" i="4"/>
  <c r="H5" i="3"/>
  <c r="I5" i="3"/>
  <c r="J5" i="3"/>
  <c r="K5" i="3"/>
  <c r="L5" i="3"/>
  <c r="L16" i="4"/>
  <c r="K16" i="4"/>
  <c r="J16" i="4"/>
  <c r="I16" i="4"/>
  <c r="H16" i="4"/>
  <c r="F16" i="4"/>
  <c r="L16" i="9"/>
  <c r="K16" i="9"/>
  <c r="J16" i="9"/>
  <c r="I16" i="9"/>
  <c r="H16" i="9"/>
  <c r="D16" i="9"/>
  <c r="L15" i="9"/>
  <c r="K15" i="9"/>
  <c r="J15" i="9"/>
  <c r="H15" i="9"/>
  <c r="G15" i="9"/>
  <c r="F15" i="9"/>
  <c r="E15" i="9"/>
  <c r="D17" i="4"/>
  <c r="F17" i="4"/>
  <c r="H17" i="4"/>
  <c r="I17" i="4"/>
  <c r="K17" i="4"/>
  <c r="L17" i="4"/>
  <c r="L19" i="2"/>
  <c r="K19" i="2"/>
  <c r="J19" i="2"/>
  <c r="I19" i="2"/>
  <c r="H19" i="2"/>
  <c r="G19" i="2"/>
  <c r="F19" i="2"/>
  <c r="E19" i="2"/>
  <c r="L18" i="2"/>
  <c r="K18" i="2"/>
  <c r="J18" i="2"/>
  <c r="I18" i="2"/>
  <c r="H18" i="2"/>
  <c r="G18" i="2"/>
  <c r="E18" i="2"/>
  <c r="D18" i="2"/>
  <c r="L15" i="7" l="1"/>
  <c r="K15" i="7"/>
  <c r="J15" i="7"/>
  <c r="I15" i="7"/>
  <c r="H15" i="7"/>
  <c r="L17" i="7"/>
  <c r="K17" i="7"/>
  <c r="J17" i="7"/>
  <c r="I17" i="7"/>
  <c r="H17" i="7"/>
  <c r="L16" i="7"/>
  <c r="K16" i="7"/>
  <c r="J16" i="7"/>
  <c r="I16" i="7"/>
  <c r="H16" i="7"/>
  <c r="G16" i="7"/>
  <c r="F16" i="7"/>
  <c r="E16" i="7"/>
  <c r="D16" i="7"/>
  <c r="L22" i="10" l="1"/>
  <c r="K22" i="10"/>
  <c r="J22" i="10"/>
  <c r="I22" i="10"/>
  <c r="H22" i="10"/>
  <c r="G22" i="10"/>
  <c r="F22" i="10"/>
  <c r="F23" i="10" s="1"/>
  <c r="E22" i="10"/>
  <c r="D22" i="10"/>
  <c r="D23" i="10" s="1"/>
  <c r="L21" i="10"/>
  <c r="L23" i="10" s="1"/>
  <c r="K21" i="10"/>
  <c r="K23" i="10" s="1"/>
  <c r="J21" i="10"/>
  <c r="I21" i="10"/>
  <c r="H21" i="10"/>
  <c r="H23" i="10" s="1"/>
  <c r="G23" i="10"/>
  <c r="L18" i="10"/>
  <c r="K18" i="10"/>
  <c r="J18" i="10"/>
  <c r="I18" i="10"/>
  <c r="H18" i="10"/>
  <c r="G18" i="10"/>
  <c r="F18" i="10"/>
  <c r="E18" i="10"/>
  <c r="D18" i="10"/>
  <c r="E23" i="10"/>
  <c r="D27" i="10"/>
  <c r="F27" i="10"/>
  <c r="J27" i="10"/>
  <c r="E27" i="10"/>
  <c r="I27" i="10"/>
  <c r="L17" i="10"/>
  <c r="K17" i="10"/>
  <c r="J17" i="10"/>
  <c r="I17" i="10"/>
  <c r="H17" i="10"/>
  <c r="G17" i="10"/>
  <c r="F17" i="10"/>
  <c r="E17" i="10"/>
  <c r="D17" i="10"/>
  <c r="L15" i="10"/>
  <c r="K15" i="10"/>
  <c r="J15" i="10"/>
  <c r="I15" i="10"/>
  <c r="H15" i="10"/>
  <c r="L14" i="10"/>
  <c r="K14" i="10"/>
  <c r="J14" i="10"/>
  <c r="I14" i="10"/>
  <c r="H14" i="10"/>
  <c r="G14" i="10"/>
  <c r="F14" i="10"/>
  <c r="E14" i="10"/>
  <c r="D14" i="10"/>
  <c r="L12" i="10"/>
  <c r="K12" i="10"/>
  <c r="H12" i="10"/>
  <c r="G12" i="10"/>
  <c r="D12" i="10"/>
  <c r="L8" i="10"/>
  <c r="K8" i="10"/>
  <c r="J8" i="10"/>
  <c r="I8" i="10"/>
  <c r="H8" i="10"/>
  <c r="F8" i="10"/>
  <c r="E8" i="10"/>
  <c r="D8" i="10"/>
  <c r="G8" i="10"/>
  <c r="L26" i="9"/>
  <c r="L28" i="9" s="1"/>
  <c r="K26" i="9"/>
  <c r="K28" i="9" s="1"/>
  <c r="J26" i="9"/>
  <c r="J28" i="9" s="1"/>
  <c r="I26" i="9"/>
  <c r="I28" i="9" s="1"/>
  <c r="H26" i="9"/>
  <c r="G26" i="9"/>
  <c r="G28" i="9" s="1"/>
  <c r="F26" i="9"/>
  <c r="E26" i="9"/>
  <c r="E28" i="9" s="1"/>
  <c r="D26" i="9"/>
  <c r="L23" i="9"/>
  <c r="K23" i="9"/>
  <c r="J23" i="9"/>
  <c r="I23" i="9"/>
  <c r="H23" i="9"/>
  <c r="F23" i="9"/>
  <c r="F24" i="9" s="1"/>
  <c r="E23" i="9"/>
  <c r="E24" i="9" s="1"/>
  <c r="D23" i="9"/>
  <c r="L22" i="9"/>
  <c r="K22" i="9"/>
  <c r="K24" i="9" s="1"/>
  <c r="J22" i="9"/>
  <c r="J24" i="9" s="1"/>
  <c r="I22" i="9"/>
  <c r="I24" i="9" s="1"/>
  <c r="H22" i="9"/>
  <c r="L19" i="9"/>
  <c r="K19" i="9"/>
  <c r="J19" i="9"/>
  <c r="I19" i="9"/>
  <c r="H19" i="9"/>
  <c r="G19" i="9"/>
  <c r="F19" i="9"/>
  <c r="E19" i="9"/>
  <c r="D19" i="9"/>
  <c r="I15" i="9"/>
  <c r="G15" i="3"/>
  <c r="H15" i="3"/>
  <c r="I15" i="3"/>
  <c r="J15" i="3"/>
  <c r="K15" i="3"/>
  <c r="L15" i="3"/>
  <c r="J16" i="3"/>
  <c r="G20" i="9"/>
  <c r="L12" i="9"/>
  <c r="H12" i="9"/>
  <c r="D12" i="9"/>
  <c r="I12" i="9"/>
  <c r="E12" i="9"/>
  <c r="H28" i="9"/>
  <c r="F28" i="9"/>
  <c r="D28" i="9"/>
  <c r="G24" i="9"/>
  <c r="L17" i="9"/>
  <c r="K17" i="9"/>
  <c r="K20" i="9" s="1"/>
  <c r="J17" i="9"/>
  <c r="J20" i="9" s="1"/>
  <c r="I17" i="9"/>
  <c r="H17" i="9"/>
  <c r="G17" i="9"/>
  <c r="F17" i="9"/>
  <c r="F20" i="9" s="1"/>
  <c r="E17" i="9"/>
  <c r="D17" i="9"/>
  <c r="K12" i="9"/>
  <c r="J12" i="9"/>
  <c r="G12" i="9"/>
  <c r="F12" i="9"/>
  <c r="L8" i="9"/>
  <c r="K8" i="9"/>
  <c r="J8" i="9"/>
  <c r="I8" i="9"/>
  <c r="H8" i="9"/>
  <c r="G8" i="9"/>
  <c r="F8" i="9"/>
  <c r="E8" i="9"/>
  <c r="D8" i="9"/>
  <c r="L24" i="8"/>
  <c r="K24" i="8"/>
  <c r="J24" i="8"/>
  <c r="I24" i="8"/>
  <c r="H24" i="8"/>
  <c r="G24" i="8"/>
  <c r="F24" i="8"/>
  <c r="E24" i="8"/>
  <c r="D24" i="8"/>
  <c r="D25" i="8" s="1"/>
  <c r="L23" i="8"/>
  <c r="K23" i="8"/>
  <c r="J23" i="8"/>
  <c r="I23" i="8"/>
  <c r="H23" i="8"/>
  <c r="I22" i="2"/>
  <c r="H22" i="2"/>
  <c r="L27" i="8"/>
  <c r="L29" i="8" s="1"/>
  <c r="K27" i="8"/>
  <c r="K29" i="8" s="1"/>
  <c r="J27" i="8"/>
  <c r="I27" i="8"/>
  <c r="H27" i="8"/>
  <c r="G29" i="8"/>
  <c r="E27" i="8"/>
  <c r="D27" i="8"/>
  <c r="D29" i="8" s="1"/>
  <c r="L19" i="8"/>
  <c r="K19" i="8"/>
  <c r="J19" i="8"/>
  <c r="I19" i="8"/>
  <c r="H19" i="8"/>
  <c r="G19" i="8"/>
  <c r="F19" i="8"/>
  <c r="E19" i="8"/>
  <c r="D19" i="8"/>
  <c r="L18" i="8"/>
  <c r="K18" i="8"/>
  <c r="J18" i="8"/>
  <c r="I18" i="8"/>
  <c r="H18" i="8"/>
  <c r="G18" i="8"/>
  <c r="F18" i="8"/>
  <c r="E18" i="8"/>
  <c r="D18" i="8"/>
  <c r="L7" i="8"/>
  <c r="K7" i="8"/>
  <c r="J7" i="8"/>
  <c r="I7" i="8"/>
  <c r="H7" i="8"/>
  <c r="G7" i="8"/>
  <c r="G9" i="8" s="1"/>
  <c r="F7" i="8"/>
  <c r="F9" i="8" s="1"/>
  <c r="E7" i="8"/>
  <c r="E9" i="8" s="1"/>
  <c r="D7" i="8"/>
  <c r="D9" i="8" s="1"/>
  <c r="L5" i="8"/>
  <c r="L9" i="8" s="1"/>
  <c r="K5" i="8"/>
  <c r="K9" i="8" s="1"/>
  <c r="J5" i="8"/>
  <c r="I5" i="8"/>
  <c r="H5" i="8"/>
  <c r="H9" i="8" s="1"/>
  <c r="H29" i="8"/>
  <c r="L20" i="8"/>
  <c r="K20" i="8"/>
  <c r="J20" i="8"/>
  <c r="I20" i="8"/>
  <c r="H20" i="8"/>
  <c r="L13" i="8"/>
  <c r="K13" i="8"/>
  <c r="H13" i="8"/>
  <c r="G13" i="8"/>
  <c r="D13" i="8"/>
  <c r="G28" i="7"/>
  <c r="F28" i="7"/>
  <c r="E28" i="7"/>
  <c r="D28" i="7"/>
  <c r="L26" i="7"/>
  <c r="L28" i="7" s="1"/>
  <c r="K26" i="7"/>
  <c r="K28" i="7" s="1"/>
  <c r="J26" i="7"/>
  <c r="J28" i="7" s="1"/>
  <c r="I26" i="7"/>
  <c r="H26" i="7"/>
  <c r="L22" i="7"/>
  <c r="L24" i="7" s="1"/>
  <c r="K22" i="7"/>
  <c r="K24" i="7" s="1"/>
  <c r="J22" i="7"/>
  <c r="J24" i="7" s="1"/>
  <c r="I22" i="7"/>
  <c r="I24" i="7" s="1"/>
  <c r="H22" i="7"/>
  <c r="H24" i="7" s="1"/>
  <c r="F24" i="7"/>
  <c r="D24" i="7"/>
  <c r="L19" i="7"/>
  <c r="K19" i="7"/>
  <c r="J19" i="7"/>
  <c r="I19" i="7"/>
  <c r="H19" i="7"/>
  <c r="G19" i="7"/>
  <c r="F19" i="7"/>
  <c r="E19" i="7"/>
  <c r="D19" i="7"/>
  <c r="G14" i="7"/>
  <c r="F14" i="7"/>
  <c r="F20" i="7" s="1"/>
  <c r="E14" i="7"/>
  <c r="D14" i="7"/>
  <c r="G8" i="7"/>
  <c r="L5" i="7"/>
  <c r="K5" i="7"/>
  <c r="J5" i="7"/>
  <c r="I5" i="7"/>
  <c r="H5" i="7"/>
  <c r="E24" i="7"/>
  <c r="G24" i="7"/>
  <c r="L14" i="7"/>
  <c r="L20" i="7" s="1"/>
  <c r="K14" i="7"/>
  <c r="J14" i="7"/>
  <c r="I14" i="7"/>
  <c r="I20" i="7" s="1"/>
  <c r="H14" i="7"/>
  <c r="H20" i="7" s="1"/>
  <c r="E20" i="7"/>
  <c r="J12" i="7"/>
  <c r="F12" i="7"/>
  <c r="H28" i="6"/>
  <c r="L22" i="6"/>
  <c r="L24" i="6" s="1"/>
  <c r="K22" i="6"/>
  <c r="J22" i="6"/>
  <c r="I22" i="6"/>
  <c r="I24" i="6" s="1"/>
  <c r="H22" i="6"/>
  <c r="H24" i="6" s="1"/>
  <c r="E24" i="6"/>
  <c r="D24" i="6"/>
  <c r="L19" i="6"/>
  <c r="K19" i="6"/>
  <c r="J19" i="6"/>
  <c r="I19" i="6"/>
  <c r="H19" i="6"/>
  <c r="G19" i="6"/>
  <c r="F19" i="6"/>
  <c r="E19" i="6"/>
  <c r="D19" i="6"/>
  <c r="L17" i="6"/>
  <c r="K17" i="6"/>
  <c r="J17" i="6"/>
  <c r="I17" i="6"/>
  <c r="H17" i="6"/>
  <c r="E17" i="6"/>
  <c r="D17" i="6"/>
  <c r="L16" i="6"/>
  <c r="K16" i="6"/>
  <c r="J16" i="6"/>
  <c r="I16" i="6"/>
  <c r="H16" i="6"/>
  <c r="G20" i="6"/>
  <c r="K13" i="6"/>
  <c r="I13" i="6"/>
  <c r="E13" i="6"/>
  <c r="L6" i="6"/>
  <c r="K6" i="6"/>
  <c r="J6" i="6"/>
  <c r="I6" i="6"/>
  <c r="H6" i="6"/>
  <c r="L5" i="6"/>
  <c r="K5" i="6"/>
  <c r="J5" i="6"/>
  <c r="I5" i="6"/>
  <c r="I9" i="6" s="1"/>
  <c r="H5" i="6"/>
  <c r="F5" i="6"/>
  <c r="L27" i="6"/>
  <c r="L28" i="6" s="1"/>
  <c r="K27" i="6"/>
  <c r="K28" i="6" s="1"/>
  <c r="J27" i="6"/>
  <c r="I27" i="6"/>
  <c r="I28" i="6" s="1"/>
  <c r="H27" i="6"/>
  <c r="G27" i="6"/>
  <c r="G28" i="6" s="1"/>
  <c r="F27" i="6"/>
  <c r="E27" i="6"/>
  <c r="E28" i="6" s="1"/>
  <c r="D27" i="6"/>
  <c r="D28" i="6" s="1"/>
  <c r="J24" i="6"/>
  <c r="F24" i="6"/>
  <c r="L18" i="6"/>
  <c r="K18" i="6"/>
  <c r="J18" i="6"/>
  <c r="I18" i="6"/>
  <c r="H18" i="6"/>
  <c r="F18" i="6"/>
  <c r="E18" i="6"/>
  <c r="D18" i="6"/>
  <c r="G13" i="6"/>
  <c r="L8" i="6"/>
  <c r="K8" i="6"/>
  <c r="J8" i="6"/>
  <c r="I8" i="6"/>
  <c r="H8" i="6"/>
  <c r="G8" i="6"/>
  <c r="F8" i="6"/>
  <c r="E8" i="6"/>
  <c r="E9" i="6" s="1"/>
  <c r="D8" i="6"/>
  <c r="L28" i="5"/>
  <c r="K28" i="5"/>
  <c r="J28" i="5"/>
  <c r="I28" i="5"/>
  <c r="H28" i="5"/>
  <c r="E28" i="5"/>
  <c r="D28" i="5"/>
  <c r="L20" i="5"/>
  <c r="K20" i="5"/>
  <c r="J20" i="5"/>
  <c r="I20" i="5"/>
  <c r="H20" i="5"/>
  <c r="G20" i="5"/>
  <c r="F20" i="5"/>
  <c r="D20" i="5"/>
  <c r="L19" i="5"/>
  <c r="K19" i="5"/>
  <c r="J19" i="5"/>
  <c r="I19" i="5"/>
  <c r="H19" i="5"/>
  <c r="G19" i="5"/>
  <c r="F19" i="5"/>
  <c r="E19" i="5"/>
  <c r="D19" i="5"/>
  <c r="L18" i="5"/>
  <c r="K18" i="5"/>
  <c r="J18" i="5"/>
  <c r="H18" i="5"/>
  <c r="G18" i="5"/>
  <c r="D18" i="5"/>
  <c r="L17" i="5"/>
  <c r="K17" i="5"/>
  <c r="I17" i="5"/>
  <c r="H17" i="5"/>
  <c r="L16" i="5"/>
  <c r="K16" i="5"/>
  <c r="J16" i="5"/>
  <c r="I16" i="5"/>
  <c r="H16" i="5"/>
  <c r="F16" i="5"/>
  <c r="L15" i="5"/>
  <c r="K15" i="5"/>
  <c r="J15" i="5"/>
  <c r="I15" i="5"/>
  <c r="H15" i="5"/>
  <c r="E15" i="5"/>
  <c r="D15" i="5"/>
  <c r="I12" i="5"/>
  <c r="H12" i="5"/>
  <c r="D20" i="9" l="1"/>
  <c r="H20" i="9"/>
  <c r="L20" i="9"/>
  <c r="E20" i="9"/>
  <c r="E29" i="9" s="1"/>
  <c r="I20" i="9"/>
  <c r="I29" i="9" s="1"/>
  <c r="J21" i="8"/>
  <c r="H25" i="8"/>
  <c r="H30" i="8" s="1"/>
  <c r="L25" i="8"/>
  <c r="F29" i="7"/>
  <c r="K20" i="6"/>
  <c r="J23" i="10"/>
  <c r="I23" i="10"/>
  <c r="D24" i="9"/>
  <c r="H24" i="9"/>
  <c r="L24" i="9"/>
  <c r="L29" i="9" s="1"/>
  <c r="G29" i="9"/>
  <c r="H29" i="9"/>
  <c r="K29" i="9"/>
  <c r="D29" i="9"/>
  <c r="F29" i="9"/>
  <c r="J29" i="9"/>
  <c r="E12" i="10"/>
  <c r="I12" i="10"/>
  <c r="L27" i="10"/>
  <c r="L28" i="10" s="1"/>
  <c r="H27" i="10"/>
  <c r="F12" i="10"/>
  <c r="J12" i="10"/>
  <c r="K27" i="10"/>
  <c r="G27" i="10"/>
  <c r="F21" i="8"/>
  <c r="J9" i="8"/>
  <c r="I9" i="8"/>
  <c r="E13" i="8"/>
  <c r="F29" i="8"/>
  <c r="J29" i="8"/>
  <c r="G25" i="8"/>
  <c r="K25" i="8"/>
  <c r="I13" i="8"/>
  <c r="F13" i="8"/>
  <c r="J13" i="8"/>
  <c r="E21" i="8"/>
  <c r="I21" i="8"/>
  <c r="D21" i="8"/>
  <c r="D30" i="8" s="1"/>
  <c r="H21" i="8"/>
  <c r="L21" i="8"/>
  <c r="L30" i="8" s="1"/>
  <c r="G21" i="8"/>
  <c r="G30" i="8" s="1"/>
  <c r="K21" i="8"/>
  <c r="K30" i="8" s="1"/>
  <c r="E29" i="8"/>
  <c r="I29" i="8"/>
  <c r="F25" i="8"/>
  <c r="J25" i="8"/>
  <c r="E25" i="8"/>
  <c r="I25" i="8"/>
  <c r="G20" i="7"/>
  <c r="J20" i="7"/>
  <c r="K20" i="7"/>
  <c r="I28" i="7"/>
  <c r="H28" i="7"/>
  <c r="F8" i="7"/>
  <c r="J8" i="7"/>
  <c r="J29" i="7" s="1"/>
  <c r="D12" i="7"/>
  <c r="H12" i="7"/>
  <c r="L12" i="7"/>
  <c r="K8" i="7"/>
  <c r="K29" i="7" s="1"/>
  <c r="D8" i="7"/>
  <c r="D29" i="7" s="1"/>
  <c r="H8" i="7"/>
  <c r="L8" i="7"/>
  <c r="L29" i="7" s="1"/>
  <c r="E8" i="7"/>
  <c r="E29" i="7" s="1"/>
  <c r="I8" i="7"/>
  <c r="G24" i="6"/>
  <c r="K24" i="6"/>
  <c r="G9" i="6"/>
  <c r="I20" i="6"/>
  <c r="I29" i="6" s="1"/>
  <c r="K9" i="6"/>
  <c r="E20" i="6"/>
  <c r="E29" i="6" s="1"/>
  <c r="J9" i="6"/>
  <c r="F28" i="6"/>
  <c r="J28" i="6"/>
  <c r="F9" i="6"/>
  <c r="D9" i="6"/>
  <c r="H9" i="6"/>
  <c r="L9" i="6"/>
  <c r="E19" i="10"/>
  <c r="G19" i="10"/>
  <c r="I19" i="10"/>
  <c r="K19" i="10"/>
  <c r="D19" i="10"/>
  <c r="D28" i="10" s="1"/>
  <c r="F19" i="10"/>
  <c r="H19" i="10"/>
  <c r="J19" i="10"/>
  <c r="L19" i="10"/>
  <c r="H28" i="10"/>
  <c r="D20" i="7"/>
  <c r="E12" i="7"/>
  <c r="G12" i="7"/>
  <c r="G29" i="7" s="1"/>
  <c r="I12" i="7"/>
  <c r="K12" i="7"/>
  <c r="D20" i="6"/>
  <c r="F20" i="6"/>
  <c r="H20" i="6"/>
  <c r="J20" i="6"/>
  <c r="L20" i="6"/>
  <c r="D13" i="6"/>
  <c r="F13" i="6"/>
  <c r="H13" i="6"/>
  <c r="J13" i="6"/>
  <c r="L13" i="6"/>
  <c r="L6" i="5"/>
  <c r="K6" i="5"/>
  <c r="J6" i="5"/>
  <c r="I6" i="5"/>
  <c r="H6" i="5"/>
  <c r="G6" i="5"/>
  <c r="F6" i="5"/>
  <c r="F9" i="5" s="1"/>
  <c r="L5" i="5"/>
  <c r="L9" i="5" s="1"/>
  <c r="K5" i="5"/>
  <c r="K9" i="5" s="1"/>
  <c r="J5" i="5"/>
  <c r="I5" i="5"/>
  <c r="H5" i="5"/>
  <c r="G5" i="5"/>
  <c r="G9" i="5" s="1"/>
  <c r="F5" i="5"/>
  <c r="E5" i="5"/>
  <c r="D5" i="5"/>
  <c r="D9" i="5" s="1"/>
  <c r="L6" i="4"/>
  <c r="K6" i="4"/>
  <c r="J6" i="4"/>
  <c r="I6" i="4"/>
  <c r="I9" i="4" s="1"/>
  <c r="H6" i="4"/>
  <c r="E6" i="4"/>
  <c r="D6" i="4"/>
  <c r="D9" i="4" s="1"/>
  <c r="L23" i="4"/>
  <c r="K23" i="4"/>
  <c r="J23" i="4"/>
  <c r="I23" i="4"/>
  <c r="H23" i="4"/>
  <c r="L20" i="4"/>
  <c r="K20" i="4"/>
  <c r="J20" i="4"/>
  <c r="I20" i="4"/>
  <c r="H20" i="4"/>
  <c r="G20" i="4"/>
  <c r="F20" i="4"/>
  <c r="E20" i="4"/>
  <c r="D20" i="4"/>
  <c r="L18" i="4"/>
  <c r="K18" i="4"/>
  <c r="J18" i="4"/>
  <c r="I18" i="4"/>
  <c r="H18" i="4"/>
  <c r="F18" i="4"/>
  <c r="D18" i="4"/>
  <c r="L15" i="1"/>
  <c r="K15" i="1"/>
  <c r="J15" i="1"/>
  <c r="I15" i="1"/>
  <c r="F15" i="1"/>
  <c r="I15" i="4"/>
  <c r="H15" i="4"/>
  <c r="J16" i="1"/>
  <c r="I16" i="1"/>
  <c r="D8" i="4"/>
  <c r="E8" i="4"/>
  <c r="F8" i="4"/>
  <c r="F9" i="4" s="1"/>
  <c r="G8" i="4"/>
  <c r="G9" i="4" s="1"/>
  <c r="H8" i="4"/>
  <c r="I8" i="4"/>
  <c r="J8" i="4"/>
  <c r="K8" i="4"/>
  <c r="L8" i="4"/>
  <c r="L12" i="4"/>
  <c r="K12" i="4"/>
  <c r="J12" i="4"/>
  <c r="I12" i="4"/>
  <c r="H12" i="4"/>
  <c r="L7" i="4"/>
  <c r="K7" i="4"/>
  <c r="J7" i="4"/>
  <c r="I7" i="4"/>
  <c r="H7" i="4"/>
  <c r="L27" i="5"/>
  <c r="L29" i="5" s="1"/>
  <c r="K27" i="5"/>
  <c r="K29" i="5" s="1"/>
  <c r="J27" i="5"/>
  <c r="J29" i="5" s="1"/>
  <c r="I27" i="5"/>
  <c r="I29" i="5" s="1"/>
  <c r="H27" i="5"/>
  <c r="H29" i="5" s="1"/>
  <c r="G29" i="5"/>
  <c r="F29" i="5"/>
  <c r="E29" i="5"/>
  <c r="D29" i="5"/>
  <c r="L25" i="5"/>
  <c r="K25" i="5"/>
  <c r="J25" i="5"/>
  <c r="I25" i="5"/>
  <c r="H25" i="5"/>
  <c r="G25" i="5"/>
  <c r="F25" i="5"/>
  <c r="E25" i="5"/>
  <c r="D25" i="5"/>
  <c r="E20" i="5"/>
  <c r="I18" i="5"/>
  <c r="J17" i="5"/>
  <c r="J21" i="5" s="1"/>
  <c r="L21" i="5"/>
  <c r="K21" i="5"/>
  <c r="I21" i="5"/>
  <c r="H21" i="5"/>
  <c r="G21" i="5"/>
  <c r="F21" i="5"/>
  <c r="E21" i="5"/>
  <c r="D21" i="5"/>
  <c r="L11" i="5"/>
  <c r="L13" i="5" s="1"/>
  <c r="K11" i="5"/>
  <c r="K13" i="5" s="1"/>
  <c r="J11" i="5"/>
  <c r="J13" i="5" s="1"/>
  <c r="I11" i="5"/>
  <c r="I13" i="5" s="1"/>
  <c r="H11" i="5"/>
  <c r="H13" i="5" s="1"/>
  <c r="G11" i="5"/>
  <c r="G13" i="5" s="1"/>
  <c r="F13" i="5"/>
  <c r="E11" i="5"/>
  <c r="E13" i="5" s="1"/>
  <c r="D11" i="5"/>
  <c r="D13" i="5" s="1"/>
  <c r="L8" i="5"/>
  <c r="K8" i="5"/>
  <c r="J8" i="5"/>
  <c r="I8" i="5"/>
  <c r="H8" i="5"/>
  <c r="G8" i="5"/>
  <c r="F8" i="5"/>
  <c r="E8" i="5"/>
  <c r="D8" i="5"/>
  <c r="L7" i="5"/>
  <c r="K7" i="5"/>
  <c r="J7" i="5"/>
  <c r="I7" i="5"/>
  <c r="H7" i="5"/>
  <c r="H9" i="5" s="1"/>
  <c r="J9" i="5"/>
  <c r="J28" i="10" l="1"/>
  <c r="F30" i="8"/>
  <c r="I30" i="8"/>
  <c r="E30" i="8"/>
  <c r="J30" i="8"/>
  <c r="I29" i="7"/>
  <c r="H29" i="7"/>
  <c r="J9" i="4"/>
  <c r="E9" i="4"/>
  <c r="K9" i="4"/>
  <c r="H9" i="4"/>
  <c r="L9" i="4"/>
  <c r="I28" i="10"/>
  <c r="K28" i="10"/>
  <c r="E28" i="10"/>
  <c r="G28" i="10"/>
  <c r="F28" i="10"/>
  <c r="G29" i="6"/>
  <c r="K29" i="6"/>
  <c r="J29" i="6"/>
  <c r="L29" i="6"/>
  <c r="E9" i="5"/>
  <c r="E30" i="5" s="1"/>
  <c r="I9" i="5"/>
  <c r="I30" i="5" s="1"/>
  <c r="F29" i="6"/>
  <c r="H29" i="6"/>
  <c r="D29" i="6"/>
  <c r="L30" i="5"/>
  <c r="K30" i="5"/>
  <c r="J30" i="5"/>
  <c r="H30" i="5"/>
  <c r="G30" i="5"/>
  <c r="F30" i="5"/>
  <c r="D30" i="5"/>
  <c r="L28" i="4"/>
  <c r="L29" i="4" s="1"/>
  <c r="K28" i="4"/>
  <c r="J28" i="4"/>
  <c r="J29" i="4" s="1"/>
  <c r="I28" i="4"/>
  <c r="H28" i="4"/>
  <c r="H29" i="4" s="1"/>
  <c r="G28" i="4"/>
  <c r="G29" i="4" s="1"/>
  <c r="F29" i="4"/>
  <c r="E28" i="4"/>
  <c r="D28" i="4"/>
  <c r="D29" i="4" s="1"/>
  <c r="K29" i="4"/>
  <c r="I29" i="4"/>
  <c r="E29" i="4"/>
  <c r="L25" i="4"/>
  <c r="J25" i="4"/>
  <c r="H25" i="4"/>
  <c r="F25" i="4"/>
  <c r="D25" i="4"/>
  <c r="K25" i="4"/>
  <c r="I25" i="4"/>
  <c r="G25" i="4"/>
  <c r="E25" i="4"/>
  <c r="L19" i="4"/>
  <c r="L21" i="4" s="1"/>
  <c r="K19" i="4"/>
  <c r="J19" i="4"/>
  <c r="I19" i="4"/>
  <c r="I21" i="4" s="1"/>
  <c r="H19" i="4"/>
  <c r="H21" i="4" s="1"/>
  <c r="F19" i="4"/>
  <c r="E19" i="4"/>
  <c r="E21" i="4" s="1"/>
  <c r="D19" i="4"/>
  <c r="D21" i="4" s="1"/>
  <c r="J17" i="4"/>
  <c r="J21" i="4" s="1"/>
  <c r="K21" i="4"/>
  <c r="G21" i="4"/>
  <c r="F21" i="4"/>
  <c r="L11" i="4"/>
  <c r="L13" i="4" s="1"/>
  <c r="K11" i="4"/>
  <c r="K13" i="4" s="1"/>
  <c r="J11" i="4"/>
  <c r="J13" i="4" s="1"/>
  <c r="I11" i="4"/>
  <c r="I13" i="4" s="1"/>
  <c r="H11" i="4"/>
  <c r="H13" i="4" s="1"/>
  <c r="G11" i="4"/>
  <c r="G13" i="4" s="1"/>
  <c r="F13" i="4"/>
  <c r="E11" i="4"/>
  <c r="E13" i="4" s="1"/>
  <c r="D11" i="4"/>
  <c r="D13" i="4" s="1"/>
  <c r="L22" i="3"/>
  <c r="K22" i="3"/>
  <c r="K24" i="3" s="1"/>
  <c r="J22" i="3"/>
  <c r="J24" i="3" s="1"/>
  <c r="E22" i="3"/>
  <c r="D24" i="3"/>
  <c r="L19" i="3"/>
  <c r="K19" i="3"/>
  <c r="J19" i="3"/>
  <c r="I19" i="3"/>
  <c r="H19" i="3"/>
  <c r="G19" i="3"/>
  <c r="F19" i="3"/>
  <c r="E19" i="3"/>
  <c r="D19" i="3"/>
  <c r="L18" i="3"/>
  <c r="K18" i="3"/>
  <c r="J18" i="3"/>
  <c r="I18" i="3"/>
  <c r="H18" i="3"/>
  <c r="G18" i="3"/>
  <c r="F18" i="3"/>
  <c r="E18" i="3"/>
  <c r="L17" i="3"/>
  <c r="K17" i="3"/>
  <c r="J17" i="3"/>
  <c r="I17" i="3"/>
  <c r="H17" i="3"/>
  <c r="D17" i="3"/>
  <c r="L14" i="3"/>
  <c r="K14" i="3"/>
  <c r="J14" i="3"/>
  <c r="H14" i="3"/>
  <c r="G14" i="3"/>
  <c r="E14" i="3"/>
  <c r="D14" i="3"/>
  <c r="L7" i="3"/>
  <c r="K7" i="3"/>
  <c r="J7" i="3"/>
  <c r="I7" i="3"/>
  <c r="H7" i="3"/>
  <c r="F7" i="3"/>
  <c r="L6" i="3"/>
  <c r="L8" i="3" s="1"/>
  <c r="K6" i="3"/>
  <c r="K8" i="3" s="1"/>
  <c r="I6" i="3"/>
  <c r="H6" i="3"/>
  <c r="F8" i="3"/>
  <c r="D8" i="3"/>
  <c r="L27" i="3"/>
  <c r="K27" i="3"/>
  <c r="J27" i="3"/>
  <c r="I27" i="3"/>
  <c r="H27" i="3"/>
  <c r="G27" i="3"/>
  <c r="F27" i="3"/>
  <c r="E27" i="3"/>
  <c r="E28" i="3" s="1"/>
  <c r="D27" i="3"/>
  <c r="L26" i="3"/>
  <c r="K26" i="3"/>
  <c r="K28" i="3" s="1"/>
  <c r="J26" i="3"/>
  <c r="J28" i="3" s="1"/>
  <c r="I26" i="3"/>
  <c r="H26" i="3"/>
  <c r="G28" i="3"/>
  <c r="F28" i="3"/>
  <c r="L24" i="3"/>
  <c r="I22" i="3"/>
  <c r="I24" i="3" s="1"/>
  <c r="H22" i="3"/>
  <c r="H24" i="3" s="1"/>
  <c r="G24" i="3"/>
  <c r="F24" i="3"/>
  <c r="E24" i="3"/>
  <c r="I14" i="3"/>
  <c r="L11" i="3"/>
  <c r="K11" i="3"/>
  <c r="J11" i="3"/>
  <c r="I11" i="3"/>
  <c r="H11" i="3"/>
  <c r="L10" i="3"/>
  <c r="K10" i="3"/>
  <c r="K12" i="3" s="1"/>
  <c r="J10" i="3"/>
  <c r="I10" i="3"/>
  <c r="I12" i="3" s="1"/>
  <c r="H10" i="3"/>
  <c r="G12" i="3"/>
  <c r="E10" i="3"/>
  <c r="E12" i="3" s="1"/>
  <c r="D10" i="3"/>
  <c r="J6" i="3"/>
  <c r="E8" i="3"/>
  <c r="L26" i="2"/>
  <c r="K26" i="2"/>
  <c r="K28" i="2" s="1"/>
  <c r="J26" i="2"/>
  <c r="I26" i="2"/>
  <c r="I28" i="2" s="1"/>
  <c r="H26" i="2"/>
  <c r="G28" i="2"/>
  <c r="E28" i="2"/>
  <c r="L27" i="2"/>
  <c r="L28" i="2" s="1"/>
  <c r="K27" i="2"/>
  <c r="J27" i="2"/>
  <c r="I27" i="2"/>
  <c r="H27" i="2"/>
  <c r="H28" i="2" s="1"/>
  <c r="G27" i="2"/>
  <c r="F27" i="2"/>
  <c r="F28" i="2" s="1"/>
  <c r="D27" i="2"/>
  <c r="D28" i="2" s="1"/>
  <c r="K24" i="2"/>
  <c r="I24" i="2"/>
  <c r="G24" i="2"/>
  <c r="E24" i="2"/>
  <c r="L17" i="2"/>
  <c r="K17" i="2"/>
  <c r="J17" i="2"/>
  <c r="I17" i="2"/>
  <c r="H17" i="2"/>
  <c r="D17" i="2"/>
  <c r="L16" i="2"/>
  <c r="K16" i="2"/>
  <c r="J16" i="2"/>
  <c r="I16" i="2"/>
  <c r="H16" i="2"/>
  <c r="D16" i="2"/>
  <c r="L15" i="2"/>
  <c r="K15" i="2"/>
  <c r="J15" i="2"/>
  <c r="I15" i="2"/>
  <c r="H15" i="2"/>
  <c r="D15" i="2"/>
  <c r="J14" i="2"/>
  <c r="L14" i="2"/>
  <c r="K14" i="2"/>
  <c r="H14" i="2"/>
  <c r="G14" i="2"/>
  <c r="F14" i="2"/>
  <c r="E14" i="2"/>
  <c r="D14" i="2"/>
  <c r="L11" i="2"/>
  <c r="K11" i="2"/>
  <c r="K12" i="2" s="1"/>
  <c r="J11" i="2"/>
  <c r="I11" i="2"/>
  <c r="H11" i="2"/>
  <c r="G12" i="2"/>
  <c r="L12" i="2"/>
  <c r="I12" i="2"/>
  <c r="H12" i="2"/>
  <c r="F12" i="2"/>
  <c r="E12" i="2"/>
  <c r="D12" i="2"/>
  <c r="L7" i="2"/>
  <c r="K7" i="2"/>
  <c r="J7" i="2"/>
  <c r="I7" i="2"/>
  <c r="H7" i="2"/>
  <c r="L6" i="2"/>
  <c r="K6" i="2"/>
  <c r="J6" i="2"/>
  <c r="I6" i="2"/>
  <c r="H6" i="2"/>
  <c r="D6" i="2"/>
  <c r="L5" i="2"/>
  <c r="K5" i="2"/>
  <c r="I5" i="2"/>
  <c r="H5" i="2"/>
  <c r="G5" i="2"/>
  <c r="F5" i="2"/>
  <c r="E5" i="2"/>
  <c r="J5" i="2"/>
  <c r="J28" i="2"/>
  <c r="J24" i="2"/>
  <c r="H24" i="2"/>
  <c r="F24" i="2"/>
  <c r="D24" i="2"/>
  <c r="I14" i="2"/>
  <c r="J12" i="2"/>
  <c r="L27" i="1"/>
  <c r="L28" i="1" s="1"/>
  <c r="K27" i="1"/>
  <c r="J27" i="1"/>
  <c r="J28" i="1" s="1"/>
  <c r="I27" i="1"/>
  <c r="H27" i="1"/>
  <c r="H28" i="1" s="1"/>
  <c r="F28" i="1"/>
  <c r="D28" i="1"/>
  <c r="L26" i="1"/>
  <c r="K26" i="1"/>
  <c r="J26" i="1"/>
  <c r="I26" i="1"/>
  <c r="H26" i="1"/>
  <c r="G26" i="1"/>
  <c r="F26" i="1"/>
  <c r="E26" i="1"/>
  <c r="D26" i="1"/>
  <c r="L23" i="1"/>
  <c r="K23" i="1"/>
  <c r="J23" i="1"/>
  <c r="I23" i="1"/>
  <c r="H23" i="1"/>
  <c r="E23" i="1"/>
  <c r="E24" i="1" s="1"/>
  <c r="L22" i="1"/>
  <c r="K22" i="1"/>
  <c r="J22" i="1"/>
  <c r="I22" i="1"/>
  <c r="I24" i="1" s="1"/>
  <c r="G24" i="1"/>
  <c r="D24" i="1"/>
  <c r="L19" i="1"/>
  <c r="K19" i="1"/>
  <c r="J19" i="1"/>
  <c r="I19" i="1"/>
  <c r="H19" i="1"/>
  <c r="G19" i="1"/>
  <c r="E19" i="1"/>
  <c r="D19" i="1"/>
  <c r="L18" i="1"/>
  <c r="K18" i="1"/>
  <c r="I18" i="1"/>
  <c r="H18" i="1"/>
  <c r="G18" i="1"/>
  <c r="E18" i="1"/>
  <c r="I17" i="1"/>
  <c r="L17" i="1"/>
  <c r="K17" i="1"/>
  <c r="H17" i="1"/>
  <c r="G17" i="1"/>
  <c r="E17" i="1"/>
  <c r="L16" i="1"/>
  <c r="K16" i="1"/>
  <c r="H16" i="1"/>
  <c r="G20" i="3" l="1"/>
  <c r="J8" i="3"/>
  <c r="K20" i="3"/>
  <c r="K29" i="3" s="1"/>
  <c r="E20" i="3"/>
  <c r="E29" i="3" s="1"/>
  <c r="I28" i="3"/>
  <c r="I8" i="3"/>
  <c r="H8" i="3"/>
  <c r="D28" i="3"/>
  <c r="H28" i="3"/>
  <c r="L28" i="3"/>
  <c r="I20" i="3"/>
  <c r="D12" i="3"/>
  <c r="H12" i="3"/>
  <c r="L12" i="3"/>
  <c r="F12" i="3"/>
  <c r="J12" i="3"/>
  <c r="I30" i="4"/>
  <c r="K30" i="4"/>
  <c r="G30" i="4"/>
  <c r="E30" i="4"/>
  <c r="K24" i="1"/>
  <c r="L8" i="2"/>
  <c r="D30" i="4"/>
  <c r="F30" i="4"/>
  <c r="H30" i="4"/>
  <c r="J30" i="4"/>
  <c r="L30" i="4"/>
  <c r="D20" i="2"/>
  <c r="F20" i="2"/>
  <c r="H20" i="2"/>
  <c r="J20" i="2"/>
  <c r="L20" i="2"/>
  <c r="E20" i="2"/>
  <c r="G20" i="2"/>
  <c r="I20" i="2"/>
  <c r="K20" i="2"/>
  <c r="K8" i="2"/>
  <c r="J8" i="2"/>
  <c r="F24" i="1"/>
  <c r="H24" i="1"/>
  <c r="J24" i="1"/>
  <c r="L24" i="1"/>
  <c r="F20" i="3"/>
  <c r="H20" i="3"/>
  <c r="J20" i="3"/>
  <c r="L20" i="3"/>
  <c r="G8" i="3"/>
  <c r="G29" i="3" s="1"/>
  <c r="D20" i="3"/>
  <c r="L24" i="2"/>
  <c r="I8" i="2"/>
  <c r="H8" i="2"/>
  <c r="G8" i="2"/>
  <c r="F8" i="2"/>
  <c r="E8" i="2"/>
  <c r="D8" i="2"/>
  <c r="E28" i="1"/>
  <c r="G28" i="1"/>
  <c r="I28" i="1"/>
  <c r="K28" i="1"/>
  <c r="L20" i="1"/>
  <c r="K20" i="1"/>
  <c r="I20" i="1"/>
  <c r="H20" i="1"/>
  <c r="G20" i="1"/>
  <c r="F20" i="1"/>
  <c r="E20" i="1"/>
  <c r="D20" i="1"/>
  <c r="L12" i="1"/>
  <c r="K12" i="1"/>
  <c r="H12" i="1"/>
  <c r="L11" i="1"/>
  <c r="K11" i="1"/>
  <c r="J11" i="1"/>
  <c r="I11" i="1"/>
  <c r="H11" i="1"/>
  <c r="G11" i="1"/>
  <c r="E11" i="1"/>
  <c r="D11" i="1"/>
  <c r="D8" i="1"/>
  <c r="E7" i="1"/>
  <c r="D7" i="1"/>
  <c r="E5" i="1"/>
  <c r="D5" i="1"/>
  <c r="J9" i="1"/>
  <c r="J12" i="1"/>
  <c r="J13" i="1" s="1"/>
  <c r="J17" i="1"/>
  <c r="J18" i="1"/>
  <c r="I9" i="1"/>
  <c r="I12" i="1"/>
  <c r="I29" i="3" l="1"/>
  <c r="L29" i="3"/>
  <c r="F29" i="3"/>
  <c r="D29" i="3"/>
  <c r="J29" i="3"/>
  <c r="H29" i="3"/>
  <c r="D29" i="2"/>
  <c r="L29" i="2"/>
  <c r="H29" i="2"/>
  <c r="E29" i="2"/>
  <c r="I29" i="2"/>
  <c r="K29" i="2"/>
  <c r="I13" i="1"/>
  <c r="I29" i="1" s="1"/>
  <c r="G29" i="2"/>
  <c r="F29" i="2"/>
  <c r="J29" i="2"/>
  <c r="J20" i="1"/>
  <c r="J29" i="1" s="1"/>
  <c r="D9" i="1"/>
  <c r="F9" i="1"/>
  <c r="H9" i="1"/>
  <c r="L9" i="1"/>
  <c r="D13" i="1"/>
  <c r="F13" i="1"/>
  <c r="H13" i="1"/>
  <c r="L13" i="1"/>
  <c r="E9" i="1"/>
  <c r="G9" i="1"/>
  <c r="K9" i="1"/>
  <c r="E13" i="1"/>
  <c r="G13" i="1"/>
  <c r="K13" i="1"/>
  <c r="L29" i="1" l="1"/>
  <c r="D29" i="1"/>
  <c r="E29" i="1"/>
  <c r="F29" i="1"/>
  <c r="K29" i="1"/>
  <c r="H29" i="1"/>
  <c r="G29" i="1"/>
</calcChain>
</file>

<file path=xl/sharedStrings.xml><?xml version="1.0" encoding="utf-8"?>
<sst xmlns="http://schemas.openxmlformats.org/spreadsheetml/2006/main" count="384" uniqueCount="95">
  <si>
    <t>№ рецепта</t>
  </si>
  <si>
    <t>энергетическая ценность ккал</t>
  </si>
  <si>
    <t>наименование блюд</t>
  </si>
  <si>
    <t>выход гр</t>
  </si>
  <si>
    <t>белки гр</t>
  </si>
  <si>
    <t>жиры гр</t>
  </si>
  <si>
    <t>углеводы гр</t>
  </si>
  <si>
    <t>С, мг</t>
  </si>
  <si>
    <t>Са, мг</t>
  </si>
  <si>
    <t>Fe, мг</t>
  </si>
  <si>
    <t>вит В1, мг</t>
  </si>
  <si>
    <t>вит В2, мг</t>
  </si>
  <si>
    <t xml:space="preserve">                                                                                                                             день 1 ( понедельник)</t>
  </si>
  <si>
    <t xml:space="preserve">                                                                                                                            завтрак</t>
  </si>
  <si>
    <t>каша манная вязкая</t>
  </si>
  <si>
    <t>бутерброды с маслом</t>
  </si>
  <si>
    <t>чай сладкий с молоком</t>
  </si>
  <si>
    <t>гост</t>
  </si>
  <si>
    <t>конфеты шоколадные</t>
  </si>
  <si>
    <t xml:space="preserve">                                                                                                                           завтрак 2</t>
  </si>
  <si>
    <t>сок фруктовый</t>
  </si>
  <si>
    <t>печенье</t>
  </si>
  <si>
    <t xml:space="preserve">                                                                                                                            обед</t>
  </si>
  <si>
    <t>жаркое по домащнему</t>
  </si>
  <si>
    <t>хлеб пшеничный</t>
  </si>
  <si>
    <t>горошек зеленый консервированный</t>
  </si>
  <si>
    <t>компот из свежеморож ягод</t>
  </si>
  <si>
    <t xml:space="preserve">                                                                                                                           полдник</t>
  </si>
  <si>
    <t>блинчики</t>
  </si>
  <si>
    <t xml:space="preserve">                                                                                                                           полдник 2</t>
  </si>
  <si>
    <t>итого за день</t>
  </si>
  <si>
    <t>каша рисовая вязкая</t>
  </si>
  <si>
    <t>какао с молоком</t>
  </si>
  <si>
    <t>суп рыбный из консервов</t>
  </si>
  <si>
    <t>тефтели мясные</t>
  </si>
  <si>
    <t>пюре картофельное</t>
  </si>
  <si>
    <t>кисель</t>
  </si>
  <si>
    <t>огуцы консервированные</t>
  </si>
  <si>
    <t xml:space="preserve">                                                                                                                             день 2 ( вторник)</t>
  </si>
  <si>
    <t xml:space="preserve">                                                                                                                             день 3 ( среда)</t>
  </si>
  <si>
    <t>каша гречневая рассыпчатая</t>
  </si>
  <si>
    <t>бутерброд с повидлом</t>
  </si>
  <si>
    <t>суп картофельный с клецками</t>
  </si>
  <si>
    <t>курица отварная</t>
  </si>
  <si>
    <t>рис отварной</t>
  </si>
  <si>
    <t>салат из морской капусты с раст маслом</t>
  </si>
  <si>
    <t>компот из сухофруктов</t>
  </si>
  <si>
    <t>пирожки печеные из др/теста</t>
  </si>
  <si>
    <t xml:space="preserve">                                                                                                                             день 4 ( четверг)</t>
  </si>
  <si>
    <t>суп молочный с макаронными изд</t>
  </si>
  <si>
    <t>суп картофельный с макаронными изд</t>
  </si>
  <si>
    <t>пряники детские</t>
  </si>
  <si>
    <t>суп-лапша домашняя</t>
  </si>
  <si>
    <t>котлета мясная, рубленая паровая</t>
  </si>
  <si>
    <t>макаронные изделия отварн с масл</t>
  </si>
  <si>
    <t>салат из картофеля с морской капустой и свеклой</t>
  </si>
  <si>
    <t>оладьи</t>
  </si>
  <si>
    <t>компот</t>
  </si>
  <si>
    <t xml:space="preserve">                                                                                                                             день 5 ( пятница)</t>
  </si>
  <si>
    <t>омлет с зеленым горошком</t>
  </si>
  <si>
    <t>огуцы соленые консервированные</t>
  </si>
  <si>
    <t>булочка "Украинская"</t>
  </si>
  <si>
    <t>кефир не жирный</t>
  </si>
  <si>
    <t xml:space="preserve">                                                                                                                             день 6 (понедельник)</t>
  </si>
  <si>
    <t xml:space="preserve">                                                                                                                             день7 ( вторник)</t>
  </si>
  <si>
    <t>суп картофельный с фрикадельками мясными</t>
  </si>
  <si>
    <t>булочка ванильная</t>
  </si>
  <si>
    <t>крендель сахарный</t>
  </si>
  <si>
    <t xml:space="preserve">                                                                                                                             день8 ( среда)</t>
  </si>
  <si>
    <t xml:space="preserve">                                                                                                                             день9 ( четверг)</t>
  </si>
  <si>
    <t>пирог открытй</t>
  </si>
  <si>
    <t xml:space="preserve">                                                                                                                             день 10 ( пятница)</t>
  </si>
  <si>
    <t>рекомендуемая форма составления примерного меню и пищевой ценности приготовляемых блюд ( до 3лет)</t>
  </si>
  <si>
    <t>рекомендуемая форма составления примерного меню и пищевой ценности приготовляемых блюд ( до 3 лет)</t>
  </si>
  <si>
    <t>рекомендуемая форма составления примерного меню и пищевой ценности приготовляемых блюд ( до 7лет)</t>
  </si>
  <si>
    <t>рекомендуемая форма составления примерного меню и пищевой ценности приготовляемых блюд ( до 7 лет)</t>
  </si>
  <si>
    <t xml:space="preserve">анализ </t>
  </si>
  <si>
    <t>гречка отварная рассыпчатая</t>
  </si>
  <si>
    <t>пудинг рыбный запеченный</t>
  </si>
  <si>
    <t>поджарка из рыбы</t>
  </si>
  <si>
    <t>полоска песочная с повидлом</t>
  </si>
  <si>
    <t>борщ с капустой и картофелем</t>
  </si>
  <si>
    <t>салат овщной с зеленым горошком</t>
  </si>
  <si>
    <t>икра морковная</t>
  </si>
  <si>
    <t>картофельная запеканка с отварным мясом</t>
  </si>
  <si>
    <t>салат из отварной свеклы с зеленым горошком</t>
  </si>
  <si>
    <t>макароны, запеченные с яйцом</t>
  </si>
  <si>
    <t>пельмени отварные с маслом сливочным</t>
  </si>
  <si>
    <t>салат летний</t>
  </si>
  <si>
    <t>салат из моркови и яблок</t>
  </si>
  <si>
    <t>суфле их отварной говядины паровое</t>
  </si>
  <si>
    <t>тефтели из говядины с рисом ( ежики)</t>
  </si>
  <si>
    <t>салат картофельный с огурцами солеными</t>
  </si>
  <si>
    <t>плов с птицей</t>
  </si>
  <si>
    <t>рагу из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</si>
</sst>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1" fillId="0" borderId="2" xfId="0" applyFont="1" applyBorder="1" applyAlignment="1"/>
    <xf numFmtId="0" fontId="0" fillId="0" borderId="4" xfId="0" applyBorder="1" applyAlignment="1"/>
    <xf numFmtId="0" fontId="0" fillId="0" borderId="3" xfId="0" applyBorder="1" applyAlignment="1"/>
    <xf numFmtId="0" fontId="2" fillId="0" borderId="5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7" workbookViewId="0">
      <selection activeCell="B32" sqref="B32"/>
    </sheetView>
  </sheetViews>
  <sheetFormatPr defaultRowHeight="14.4" x14ac:dyDescent="0.3"/>
  <cols>
    <col min="1" max="1" width="4.33203125" customWidth="1"/>
    <col min="2" max="2" width="27.44140625" customWidth="1"/>
    <col min="7" max="7" width="10.5546875" bestFit="1" customWidth="1"/>
  </cols>
  <sheetData>
    <row r="1" spans="1:12" x14ac:dyDescent="0.3">
      <c r="A1" s="7" t="s">
        <v>72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36" customHeight="1" x14ac:dyDescent="0.3">
      <c r="A2" s="2" t="s">
        <v>0</v>
      </c>
      <c r="B2" s="1" t="s">
        <v>2</v>
      </c>
      <c r="C2" s="2" t="s">
        <v>3</v>
      </c>
      <c r="D2" s="1" t="s">
        <v>4</v>
      </c>
      <c r="E2" s="1" t="s">
        <v>5</v>
      </c>
      <c r="F2" s="1" t="s">
        <v>6</v>
      </c>
      <c r="G2" s="2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4" t="s">
        <v>12</v>
      </c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ht="12.75" customHeight="1" x14ac:dyDescent="0.3">
      <c r="A4" s="4" t="s">
        <v>13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x14ac:dyDescent="0.3">
      <c r="A5" s="1">
        <v>309</v>
      </c>
      <c r="B5" s="1" t="s">
        <v>14</v>
      </c>
      <c r="C5" s="1">
        <v>150</v>
      </c>
      <c r="D5" s="1">
        <f>2.27*C5/100</f>
        <v>3.4049999999999998</v>
      </c>
      <c r="E5" s="1">
        <f>0.22*C5/100</f>
        <v>0.33</v>
      </c>
      <c r="F5" s="1">
        <f>0.09*C5/100</f>
        <v>0.13500000000000001</v>
      </c>
      <c r="G5" s="1">
        <f>65.09*C5/100</f>
        <v>97.635000000000005</v>
      </c>
      <c r="H5" s="1">
        <f>0.023*C5/100</f>
        <v>3.4499999999999996E-2</v>
      </c>
      <c r="I5" s="1">
        <f>0.01*C5/100</f>
        <v>1.4999999999999999E-2</v>
      </c>
      <c r="J5" s="1">
        <f>0*C5/100</f>
        <v>0</v>
      </c>
      <c r="K5" s="1">
        <f>4.4*C5/100</f>
        <v>6.6</v>
      </c>
      <c r="L5" s="1">
        <f>0.22*C5/100</f>
        <v>0.33</v>
      </c>
    </row>
    <row r="6" spans="1:12" x14ac:dyDescent="0.3">
      <c r="A6" s="1">
        <v>1</v>
      </c>
      <c r="B6" s="1" t="s">
        <v>15</v>
      </c>
      <c r="C6" s="1">
        <v>40</v>
      </c>
      <c r="D6" s="1">
        <f>5.1*C6/100</f>
        <v>2.04</v>
      </c>
      <c r="E6" s="1">
        <f>10.2*C6/100</f>
        <v>4.08</v>
      </c>
      <c r="F6" s="1">
        <f>29.75*C6/100</f>
        <v>11.9</v>
      </c>
      <c r="G6" s="1">
        <f>195*C6/100</f>
        <v>78</v>
      </c>
      <c r="H6" s="1">
        <f>0.12*C6/100</f>
        <v>4.8000000000000001E-2</v>
      </c>
      <c r="I6" s="1">
        <f>0.08*C6/100</f>
        <v>3.2000000000000001E-2</v>
      </c>
      <c r="J6" s="1">
        <f t="shared" ref="J6:J18" si="0">0*C6/100</f>
        <v>0</v>
      </c>
      <c r="K6" s="1">
        <f>23.25*C6/100</f>
        <v>9.3000000000000007</v>
      </c>
      <c r="L6" s="1">
        <f>1.55*C6/100</f>
        <v>0.62</v>
      </c>
    </row>
    <row r="7" spans="1:12" x14ac:dyDescent="0.3">
      <c r="A7" s="1">
        <v>138</v>
      </c>
      <c r="B7" s="1" t="s">
        <v>16</v>
      </c>
      <c r="C7" s="1">
        <v>150</v>
      </c>
      <c r="D7" s="1">
        <f>1.56*C7/100</f>
        <v>2.34</v>
      </c>
      <c r="E7" s="1">
        <f>1.62*C7/100</f>
        <v>2.4300000000000002</v>
      </c>
      <c r="F7" s="1">
        <f>13.95*C7/100</f>
        <v>20.925000000000001</v>
      </c>
      <c r="G7" s="1">
        <f>54.34*C7/100</f>
        <v>81.510000000000005</v>
      </c>
      <c r="H7" s="1">
        <f>0.01*C7/100</f>
        <v>1.4999999999999999E-2</v>
      </c>
      <c r="I7" s="1">
        <f>0.07*C7/100</f>
        <v>0.10500000000000002</v>
      </c>
      <c r="J7" s="1">
        <f>0.33*C7/100</f>
        <v>0.495</v>
      </c>
      <c r="K7" s="1">
        <f>64.05*C7/100</f>
        <v>96.075000000000003</v>
      </c>
      <c r="L7" s="1">
        <f>0.32*C7/100</f>
        <v>0.48</v>
      </c>
    </row>
    <row r="8" spans="1:12" x14ac:dyDescent="0.3">
      <c r="A8" s="1" t="s">
        <v>17</v>
      </c>
      <c r="B8" s="1" t="s">
        <v>18</v>
      </c>
      <c r="C8" s="1">
        <v>10</v>
      </c>
      <c r="D8" s="1">
        <f>6.92*C8/100</f>
        <v>0.69200000000000006</v>
      </c>
      <c r="E8" s="1">
        <f>25.67*C8/100</f>
        <v>2.5670000000000006</v>
      </c>
      <c r="F8" s="1">
        <f>76.72*C8/100</f>
        <v>7.6720000000000006</v>
      </c>
      <c r="G8" s="1">
        <f>230*C8/100</f>
        <v>23</v>
      </c>
      <c r="H8" s="1">
        <f>0.33*C8/100</f>
        <v>3.3000000000000002E-2</v>
      </c>
      <c r="I8" s="1">
        <f t="shared" ref="I8:I12" si="1">0*C8/100</f>
        <v>0</v>
      </c>
      <c r="J8" s="1">
        <f t="shared" si="0"/>
        <v>0</v>
      </c>
      <c r="K8" s="1">
        <f>186.67*C8/100</f>
        <v>18.666999999999998</v>
      </c>
      <c r="L8" s="1">
        <f>1.83*C8/100</f>
        <v>0.183</v>
      </c>
    </row>
    <row r="9" spans="1:12" x14ac:dyDescent="0.3">
      <c r="A9" s="1"/>
      <c r="B9" s="1"/>
      <c r="C9" s="3">
        <f>C5+C6+C7+C8</f>
        <v>350</v>
      </c>
      <c r="D9" s="3">
        <f>SUM(D5:D8)</f>
        <v>8.4770000000000003</v>
      </c>
      <c r="E9" s="3">
        <f t="shared" ref="E9:L9" si="2">SUM(E5:E8)</f>
        <v>9.407</v>
      </c>
      <c r="F9" s="3">
        <f t="shared" si="2"/>
        <v>40.632000000000005</v>
      </c>
      <c r="G9" s="3">
        <f t="shared" si="2"/>
        <v>280.14499999999998</v>
      </c>
      <c r="H9" s="3">
        <f t="shared" si="2"/>
        <v>0.1305</v>
      </c>
      <c r="I9" s="3">
        <f t="shared" si="2"/>
        <v>0.15200000000000002</v>
      </c>
      <c r="J9" s="3">
        <f t="shared" si="2"/>
        <v>0.495</v>
      </c>
      <c r="K9" s="3">
        <f t="shared" si="2"/>
        <v>130.642</v>
      </c>
      <c r="L9" s="3">
        <f t="shared" si="2"/>
        <v>1.613</v>
      </c>
    </row>
    <row r="10" spans="1:12" ht="12" customHeight="1" x14ac:dyDescent="0.3">
      <c r="A10" s="4" t="s">
        <v>19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</row>
    <row r="11" spans="1:12" x14ac:dyDescent="0.3">
      <c r="A11" s="1">
        <v>134</v>
      </c>
      <c r="B11" s="1" t="s">
        <v>20</v>
      </c>
      <c r="C11" s="1">
        <v>85</v>
      </c>
      <c r="D11" s="1">
        <f>0.5*C11/100</f>
        <v>0.42499999999999999</v>
      </c>
      <c r="E11" s="1">
        <f>0.1*C11/100</f>
        <v>8.5000000000000006E-2</v>
      </c>
      <c r="F11" s="1">
        <f>8.1*C11/100</f>
        <v>6.8849999999999998</v>
      </c>
      <c r="G11" s="1">
        <f>46*C11/100</f>
        <v>39.1</v>
      </c>
      <c r="H11" s="1">
        <f>0.01*C11/100</f>
        <v>8.5000000000000006E-3</v>
      </c>
      <c r="I11" s="1">
        <f>0.01*C11/100</f>
        <v>8.5000000000000006E-3</v>
      </c>
      <c r="J11" s="1">
        <f>2*C11/100</f>
        <v>1.7</v>
      </c>
      <c r="K11" s="1">
        <f>7*C11/100</f>
        <v>5.95</v>
      </c>
      <c r="L11" s="1">
        <f>1.4*C11/100</f>
        <v>1.19</v>
      </c>
    </row>
    <row r="12" spans="1:12" x14ac:dyDescent="0.3">
      <c r="A12" s="1" t="s">
        <v>17</v>
      </c>
      <c r="B12" s="1" t="s">
        <v>21</v>
      </c>
      <c r="C12" s="1">
        <v>15</v>
      </c>
      <c r="D12" s="1">
        <f>11.4*C12/100</f>
        <v>1.71</v>
      </c>
      <c r="E12" s="1">
        <f>15.12*C12/100</f>
        <v>2.2679999999999998</v>
      </c>
      <c r="F12" s="1">
        <f>21.75*C12/100</f>
        <v>3.2625000000000002</v>
      </c>
      <c r="G12" s="1">
        <f>208*C12/100</f>
        <v>31.2</v>
      </c>
      <c r="H12" s="1">
        <f>0.13*C12/100</f>
        <v>1.9500000000000003E-2</v>
      </c>
      <c r="I12" s="1">
        <f t="shared" si="1"/>
        <v>0</v>
      </c>
      <c r="J12" s="1">
        <f t="shared" si="0"/>
        <v>0</v>
      </c>
      <c r="K12" s="1">
        <f>20*C12/100</f>
        <v>3</v>
      </c>
      <c r="L12" s="1">
        <f>1.53*C12/100</f>
        <v>0.22949999999999998</v>
      </c>
    </row>
    <row r="13" spans="1:12" x14ac:dyDescent="0.3">
      <c r="A13" s="1"/>
      <c r="B13" s="1"/>
      <c r="C13" s="3">
        <f>C11+C12</f>
        <v>100</v>
      </c>
      <c r="D13" s="3">
        <f>SUM(D11:D12)</f>
        <v>2.1349999999999998</v>
      </c>
      <c r="E13" s="3">
        <f t="shared" ref="E13:L13" si="3">SUM(E11:E12)</f>
        <v>2.3529999999999998</v>
      </c>
      <c r="F13" s="3">
        <f t="shared" si="3"/>
        <v>10.147500000000001</v>
      </c>
      <c r="G13" s="3">
        <f t="shared" si="3"/>
        <v>70.3</v>
      </c>
      <c r="H13" s="3">
        <f t="shared" si="3"/>
        <v>2.8000000000000004E-2</v>
      </c>
      <c r="I13" s="3">
        <f t="shared" si="3"/>
        <v>8.5000000000000006E-3</v>
      </c>
      <c r="J13" s="3">
        <f t="shared" si="3"/>
        <v>1.7</v>
      </c>
      <c r="K13" s="3">
        <f t="shared" si="3"/>
        <v>8.9499999999999993</v>
      </c>
      <c r="L13" s="3">
        <f t="shared" si="3"/>
        <v>1.4195</v>
      </c>
    </row>
    <row r="14" spans="1:12" ht="12.75" customHeight="1" x14ac:dyDescent="0.3">
      <c r="A14" s="4" t="s">
        <v>22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</row>
    <row r="15" spans="1:12" x14ac:dyDescent="0.3">
      <c r="A15" s="1">
        <v>36</v>
      </c>
      <c r="B15" s="1" t="s">
        <v>50</v>
      </c>
      <c r="C15" s="1">
        <v>150</v>
      </c>
      <c r="D15" s="1">
        <f>1.25*C15/100</f>
        <v>1.875</v>
      </c>
      <c r="E15" s="1">
        <f>8.73*C15/100</f>
        <v>13.095000000000001</v>
      </c>
      <c r="F15" s="1">
        <f>7.26*C15/100</f>
        <v>10.89</v>
      </c>
      <c r="G15" s="1">
        <f>88.99*C15/100</f>
        <v>133.48500000000001</v>
      </c>
      <c r="H15" s="1">
        <f>0.04*C15/100</f>
        <v>0.06</v>
      </c>
      <c r="I15" s="1">
        <f>0.04*C15/100</f>
        <v>0.06</v>
      </c>
      <c r="J15" s="1">
        <f>1.48*C15/100</f>
        <v>2.2200000000000002</v>
      </c>
      <c r="K15" s="1">
        <f>11.79*C15/100</f>
        <v>17.684999999999999</v>
      </c>
      <c r="L15" s="1">
        <f>0.29*C15/100</f>
        <v>0.435</v>
      </c>
    </row>
    <row r="16" spans="1:12" x14ac:dyDescent="0.3">
      <c r="A16" s="1">
        <v>276</v>
      </c>
      <c r="B16" s="1" t="s">
        <v>23</v>
      </c>
      <c r="C16" s="1">
        <v>85</v>
      </c>
      <c r="D16" s="1">
        <f>7.6*C16/100</f>
        <v>6.46</v>
      </c>
      <c r="E16" s="1">
        <f>3.04*C16/100</f>
        <v>2.5839999999999996</v>
      </c>
      <c r="F16" s="1">
        <f>17.02*C16/100</f>
        <v>14.467000000000001</v>
      </c>
      <c r="G16" s="1">
        <f>163.92*C16/100</f>
        <v>139.33199999999999</v>
      </c>
      <c r="H16" s="1">
        <f>0.1*C16/100</f>
        <v>8.5000000000000006E-2</v>
      </c>
      <c r="I16" s="1">
        <f>0*C16/100</f>
        <v>0</v>
      </c>
      <c r="J16" s="1">
        <f>0*C16/100</f>
        <v>0</v>
      </c>
      <c r="K16" s="1">
        <f>14.12*C16/100</f>
        <v>12.002000000000001</v>
      </c>
      <c r="L16" s="1">
        <f>1.79*C16/100</f>
        <v>1.5215000000000001</v>
      </c>
    </row>
    <row r="17" spans="1:12" x14ac:dyDescent="0.3">
      <c r="A17" s="1" t="s">
        <v>17</v>
      </c>
      <c r="B17" s="1" t="s">
        <v>24</v>
      </c>
      <c r="C17" s="1">
        <v>35</v>
      </c>
      <c r="D17" s="1">
        <f>5.9*C17/100</f>
        <v>2.0649999999999999</v>
      </c>
      <c r="E17" s="1">
        <f>1*C17/100</f>
        <v>0.35</v>
      </c>
      <c r="F17" s="1">
        <f>48.1*C17/100</f>
        <v>16.835000000000001</v>
      </c>
      <c r="G17" s="1">
        <f>213.6*C17/100</f>
        <v>74.760000000000005</v>
      </c>
      <c r="H17" s="1">
        <f>0.2*C17/100</f>
        <v>7.0000000000000007E-2</v>
      </c>
      <c r="I17" s="1">
        <f>0*C17/100</f>
        <v>0</v>
      </c>
      <c r="J17" s="1">
        <f t="shared" si="0"/>
        <v>0</v>
      </c>
      <c r="K17" s="1">
        <f>23*C17/100</f>
        <v>8.0500000000000007</v>
      </c>
      <c r="L17" s="1">
        <f>1.9*C17/100</f>
        <v>0.66500000000000004</v>
      </c>
    </row>
    <row r="18" spans="1:12" x14ac:dyDescent="0.3">
      <c r="A18" s="1" t="s">
        <v>17</v>
      </c>
      <c r="B18" s="1" t="s">
        <v>25</v>
      </c>
      <c r="C18" s="1">
        <v>30</v>
      </c>
      <c r="D18" s="1">
        <f>13*C18/100</f>
        <v>3.9</v>
      </c>
      <c r="E18" s="1">
        <f>1.2*C18/100</f>
        <v>0.36</v>
      </c>
      <c r="F18" s="1">
        <f>53.1*C18/100</f>
        <v>15.93</v>
      </c>
      <c r="G18" s="1">
        <f>302.7*C18/100</f>
        <v>90.81</v>
      </c>
      <c r="H18" s="1">
        <f>0.8*C18/100</f>
        <v>0.24</v>
      </c>
      <c r="I18" s="1">
        <f>0.2*C18/100</f>
        <v>0.06</v>
      </c>
      <c r="J18" s="1">
        <f t="shared" si="0"/>
        <v>0</v>
      </c>
      <c r="K18" s="1">
        <f>115*C18/100</f>
        <v>34.5</v>
      </c>
      <c r="L18" s="1">
        <f>9.4*C18/100</f>
        <v>2.82</v>
      </c>
    </row>
    <row r="19" spans="1:12" x14ac:dyDescent="0.3">
      <c r="A19" s="1">
        <v>127</v>
      </c>
      <c r="B19" s="1" t="s">
        <v>26</v>
      </c>
      <c r="C19" s="1">
        <v>150</v>
      </c>
      <c r="D19" s="1">
        <f>0.3*C19/100</f>
        <v>0.45</v>
      </c>
      <c r="E19" s="1">
        <f>0.04*C19/100</f>
        <v>0.06</v>
      </c>
      <c r="F19" s="1">
        <f>8.62*C19/100</f>
        <v>12.929999999999998</v>
      </c>
      <c r="G19" s="1">
        <f>34.72*C19/100</f>
        <v>52.08</v>
      </c>
      <c r="H19" s="1">
        <f>0.003*C19/100</f>
        <v>4.5000000000000005E-3</v>
      </c>
      <c r="I19" s="1">
        <f>0.004*C19/100</f>
        <v>6.0000000000000001E-3</v>
      </c>
      <c r="J19" s="1">
        <f>20*C19/100</f>
        <v>30</v>
      </c>
      <c r="K19" s="1">
        <f>3.76*C19/100</f>
        <v>5.64</v>
      </c>
      <c r="L19" s="1">
        <f>0.15*C19/100</f>
        <v>0.22500000000000001</v>
      </c>
    </row>
    <row r="20" spans="1:12" x14ac:dyDescent="0.3">
      <c r="A20" s="1"/>
      <c r="B20" s="1"/>
      <c r="C20" s="3">
        <f>C15+C16+C17+C18+C19</f>
        <v>450</v>
      </c>
      <c r="D20" s="3">
        <f>SUM(D15:D19)</f>
        <v>14.75</v>
      </c>
      <c r="E20" s="3">
        <f t="shared" ref="E20:L20" si="4">SUM(E15:E19)</f>
        <v>16.448999999999998</v>
      </c>
      <c r="F20" s="3">
        <f t="shared" si="4"/>
        <v>71.051999999999992</v>
      </c>
      <c r="G20" s="3">
        <f t="shared" si="4"/>
        <v>490.46699999999998</v>
      </c>
      <c r="H20" s="3">
        <f t="shared" si="4"/>
        <v>0.45950000000000002</v>
      </c>
      <c r="I20" s="3">
        <f t="shared" si="4"/>
        <v>0.126</v>
      </c>
      <c r="J20" s="3">
        <f t="shared" si="4"/>
        <v>32.22</v>
      </c>
      <c r="K20" s="3">
        <f t="shared" si="4"/>
        <v>77.876999999999995</v>
      </c>
      <c r="L20" s="3">
        <f t="shared" si="4"/>
        <v>5.6664999999999992</v>
      </c>
    </row>
    <row r="21" spans="1:12" ht="9.75" customHeight="1" x14ac:dyDescent="0.3">
      <c r="A21" s="4" t="s">
        <v>27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1:12" x14ac:dyDescent="0.3">
      <c r="A22" s="1">
        <v>447</v>
      </c>
      <c r="B22" s="1" t="s">
        <v>28</v>
      </c>
      <c r="C22" s="1">
        <v>50</v>
      </c>
      <c r="D22" s="1">
        <f>3.47*C22/100</f>
        <v>1.7350000000000001</v>
      </c>
      <c r="E22" s="1">
        <f>2.88*C22/100</f>
        <v>1.44</v>
      </c>
      <c r="F22" s="1">
        <f>16.85*C22/100</f>
        <v>8.4250000000000007</v>
      </c>
      <c r="G22" s="1">
        <f>142.45*C22/100</f>
        <v>71.224999999999994</v>
      </c>
      <c r="H22" s="1">
        <f>0.19*C22/100</f>
        <v>9.5000000000000001E-2</v>
      </c>
      <c r="I22" s="1">
        <f>0.05*C22/100</f>
        <v>2.5000000000000001E-2</v>
      </c>
      <c r="J22" s="1">
        <f>0*C22/100</f>
        <v>0</v>
      </c>
      <c r="K22" s="1">
        <f>19.64*C22/100</f>
        <v>9.82</v>
      </c>
      <c r="L22" s="1">
        <f>1*C22/100</f>
        <v>0.5</v>
      </c>
    </row>
    <row r="23" spans="1:12" x14ac:dyDescent="0.3">
      <c r="A23" s="1">
        <v>138</v>
      </c>
      <c r="B23" s="1" t="s">
        <v>16</v>
      </c>
      <c r="C23" s="1">
        <v>200</v>
      </c>
      <c r="D23" s="1">
        <f>1.32*C23/100</f>
        <v>2.64</v>
      </c>
      <c r="E23" s="1">
        <f>1.62*C23/100</f>
        <v>3.24</v>
      </c>
      <c r="F23" s="1">
        <f>5.95*C23/100</f>
        <v>11.9</v>
      </c>
      <c r="G23" s="1">
        <f>34.39*C23/100</f>
        <v>68.78</v>
      </c>
      <c r="H23" s="1">
        <f>0.01*C23/100</f>
        <v>0.02</v>
      </c>
      <c r="I23" s="1">
        <f>0.07*C23/100</f>
        <v>0.14000000000000001</v>
      </c>
      <c r="J23" s="1">
        <f>0.33*C23/100</f>
        <v>0.66</v>
      </c>
      <c r="K23" s="1">
        <f>64.05*C23/100</f>
        <v>128.1</v>
      </c>
      <c r="L23" s="1">
        <f>0.32*C23/100</f>
        <v>0.64</v>
      </c>
    </row>
    <row r="24" spans="1:12" x14ac:dyDescent="0.3">
      <c r="A24" s="1"/>
      <c r="B24" s="1"/>
      <c r="C24" s="3">
        <f>C22+C23</f>
        <v>250</v>
      </c>
      <c r="D24" s="3">
        <f>SUM(D22:D23)</f>
        <v>4.375</v>
      </c>
      <c r="E24" s="3">
        <f t="shared" ref="E24:L24" si="5">SUM(E22:E23)</f>
        <v>4.68</v>
      </c>
      <c r="F24" s="3">
        <f t="shared" si="5"/>
        <v>20.325000000000003</v>
      </c>
      <c r="G24" s="3">
        <f t="shared" si="5"/>
        <v>140.005</v>
      </c>
      <c r="H24" s="3">
        <f t="shared" si="5"/>
        <v>0.115</v>
      </c>
      <c r="I24" s="3">
        <f t="shared" si="5"/>
        <v>0.16500000000000001</v>
      </c>
      <c r="J24" s="3">
        <f t="shared" si="5"/>
        <v>0.66</v>
      </c>
      <c r="K24" s="3">
        <f t="shared" si="5"/>
        <v>137.91999999999999</v>
      </c>
      <c r="L24" s="3">
        <f t="shared" si="5"/>
        <v>1.1400000000000001</v>
      </c>
    </row>
    <row r="25" spans="1:12" ht="10.5" customHeight="1" x14ac:dyDescent="0.3">
      <c r="A25" s="4" t="s">
        <v>29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x14ac:dyDescent="0.3">
      <c r="A26" s="1">
        <v>134</v>
      </c>
      <c r="B26" s="1" t="s">
        <v>20</v>
      </c>
      <c r="C26" s="1">
        <v>85</v>
      </c>
      <c r="D26" s="1">
        <f>0.5*C26/100</f>
        <v>0.42499999999999999</v>
      </c>
      <c r="E26" s="1">
        <f>0.1*C26/100</f>
        <v>8.5000000000000006E-2</v>
      </c>
      <c r="F26" s="1">
        <f>10.1*C26/100</f>
        <v>8.5850000000000009</v>
      </c>
      <c r="G26" s="1">
        <f>46*C26/100</f>
        <v>39.1</v>
      </c>
      <c r="H26" s="1">
        <f>0.01*C26/100</f>
        <v>8.5000000000000006E-3</v>
      </c>
      <c r="I26" s="1">
        <f>0.01*C26/100</f>
        <v>8.5000000000000006E-3</v>
      </c>
      <c r="J26" s="1">
        <f>2*C26/100</f>
        <v>1.7</v>
      </c>
      <c r="K26" s="1">
        <f>7*C26/100</f>
        <v>5.95</v>
      </c>
      <c r="L26" s="1">
        <f>1.4*C26/100</f>
        <v>1.19</v>
      </c>
    </row>
    <row r="27" spans="1:12" x14ac:dyDescent="0.3">
      <c r="A27" s="1" t="s">
        <v>17</v>
      </c>
      <c r="B27" s="1" t="s">
        <v>21</v>
      </c>
      <c r="C27" s="1">
        <v>15</v>
      </c>
      <c r="D27" s="1">
        <f>10.98*C27/100</f>
        <v>1.6470000000000002</v>
      </c>
      <c r="E27" s="1">
        <f>15.15*C27/100</f>
        <v>2.2725</v>
      </c>
      <c r="F27" s="1">
        <f>10.45*C27/100</f>
        <v>1.5674999999999999</v>
      </c>
      <c r="G27" s="1">
        <f>206*C27/100</f>
        <v>30.9</v>
      </c>
      <c r="H27" s="1">
        <f>0.13*C27/100</f>
        <v>1.9500000000000003E-2</v>
      </c>
      <c r="I27" s="1">
        <f t="shared" ref="I27" si="6">0*C27/100</f>
        <v>0</v>
      </c>
      <c r="J27" s="1">
        <f t="shared" ref="J27" si="7">0*C27/100</f>
        <v>0</v>
      </c>
      <c r="K27" s="1">
        <f>20*C27/100</f>
        <v>3</v>
      </c>
      <c r="L27" s="1">
        <f>1.53*C27/100</f>
        <v>0.22949999999999998</v>
      </c>
    </row>
    <row r="28" spans="1:12" x14ac:dyDescent="0.3">
      <c r="A28" s="1"/>
      <c r="B28" s="1"/>
      <c r="C28" s="3">
        <f>C26+C27</f>
        <v>100</v>
      </c>
      <c r="D28" s="3">
        <f>SUM(D26:D27)</f>
        <v>2.0720000000000001</v>
      </c>
      <c r="E28" s="3">
        <f t="shared" ref="E28:L28" si="8">SUM(E26:E27)</f>
        <v>2.3574999999999999</v>
      </c>
      <c r="F28" s="3">
        <f t="shared" si="8"/>
        <v>10.1525</v>
      </c>
      <c r="G28" s="3">
        <f t="shared" si="8"/>
        <v>70</v>
      </c>
      <c r="H28" s="3">
        <f t="shared" si="8"/>
        <v>2.8000000000000004E-2</v>
      </c>
      <c r="I28" s="3">
        <f t="shared" si="8"/>
        <v>8.5000000000000006E-3</v>
      </c>
      <c r="J28" s="3">
        <f t="shared" si="8"/>
        <v>1.7</v>
      </c>
      <c r="K28" s="3">
        <f t="shared" si="8"/>
        <v>8.9499999999999993</v>
      </c>
      <c r="L28" s="3">
        <f t="shared" si="8"/>
        <v>1.4195</v>
      </c>
    </row>
    <row r="29" spans="1:12" x14ac:dyDescent="0.3">
      <c r="A29" s="1"/>
      <c r="B29" s="3" t="s">
        <v>30</v>
      </c>
      <c r="C29" s="3"/>
      <c r="D29" s="3">
        <f>D9+D13+D20+D24+D28</f>
        <v>31.809000000000001</v>
      </c>
      <c r="E29" s="3">
        <f t="shared" ref="E29:L29" si="9">E9+E13+E20+E24+E28</f>
        <v>35.246499999999997</v>
      </c>
      <c r="F29" s="3">
        <f t="shared" si="9"/>
        <v>152.309</v>
      </c>
      <c r="G29" s="3">
        <f t="shared" si="9"/>
        <v>1050.9169999999999</v>
      </c>
      <c r="H29" s="3">
        <f t="shared" si="9"/>
        <v>0.76100000000000001</v>
      </c>
      <c r="I29" s="3">
        <f t="shared" si="9"/>
        <v>0.46</v>
      </c>
      <c r="J29" s="3">
        <f t="shared" si="9"/>
        <v>36.774999999999999</v>
      </c>
      <c r="K29" s="3">
        <f t="shared" si="9"/>
        <v>364.339</v>
      </c>
      <c r="L29" s="3">
        <f t="shared" si="9"/>
        <v>11.258499999999998</v>
      </c>
    </row>
    <row r="30" spans="1:12" ht="15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mergeCells count="7">
    <mergeCell ref="A25:L25"/>
    <mergeCell ref="A1:L1"/>
    <mergeCell ref="A3:L3"/>
    <mergeCell ref="A4:L4"/>
    <mergeCell ref="A10:L10"/>
    <mergeCell ref="A14:L14"/>
    <mergeCell ref="A21:L21"/>
  </mergeCells>
  <pageMargins left="0.7" right="0.7" top="0.75" bottom="0.75" header="0.3" footer="0.3"/>
  <pageSetup paperSize="9" orientation="landscape" r:id="rId1"/>
  <ignoredErrors>
    <ignoredError sqref="J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4" workbookViewId="0">
      <selection activeCell="N18" sqref="N18"/>
    </sheetView>
  </sheetViews>
  <sheetFormatPr defaultRowHeight="14.4" x14ac:dyDescent="0.3"/>
  <cols>
    <col min="1" max="1" width="5.109375" customWidth="1"/>
    <col min="2" max="2" width="26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38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305</v>
      </c>
      <c r="B5" s="1" t="s">
        <v>31</v>
      </c>
      <c r="C5" s="1">
        <v>200</v>
      </c>
      <c r="D5" s="1">
        <f>2*C5/100</f>
        <v>4</v>
      </c>
      <c r="E5" s="1">
        <f>1*C5/100</f>
        <v>2</v>
      </c>
      <c r="F5" s="1">
        <f>2*C5/100</f>
        <v>4</v>
      </c>
      <c r="G5" s="1">
        <f>1*C5/100</f>
        <v>2</v>
      </c>
      <c r="H5" s="1">
        <f>26*C5/100</f>
        <v>52</v>
      </c>
      <c r="I5" s="1">
        <f>20*C5/100</f>
        <v>40</v>
      </c>
      <c r="J5" s="1">
        <f>0*C5/100</f>
        <v>0</v>
      </c>
      <c r="K5" s="1">
        <f>1*C5/100</f>
        <v>2</v>
      </c>
      <c r="L5" s="1">
        <f>1*C5/100</f>
        <v>2</v>
      </c>
    </row>
    <row r="6" spans="1:12" x14ac:dyDescent="0.3">
      <c r="A6" s="1">
        <v>397</v>
      </c>
      <c r="B6" s="1" t="s">
        <v>32</v>
      </c>
      <c r="C6" s="1">
        <v>120</v>
      </c>
      <c r="D6" s="1">
        <f>2.1*C6/100</f>
        <v>2.52</v>
      </c>
      <c r="E6" s="1">
        <f>1.68*C6/100</f>
        <v>2.016</v>
      </c>
      <c r="F6" s="1">
        <f>13.64*C6/100</f>
        <v>16.368000000000002</v>
      </c>
      <c r="G6" s="1">
        <f>89.33*C6/100</f>
        <v>107.196</v>
      </c>
      <c r="H6" s="1">
        <f>0.03*C6/100</f>
        <v>3.5999999999999997E-2</v>
      </c>
      <c r="I6" s="1">
        <f>0.09*C6/100</f>
        <v>0.10799999999999998</v>
      </c>
      <c r="J6" s="1">
        <f>0.8*C6/100</f>
        <v>0.96</v>
      </c>
      <c r="K6" s="1">
        <f>76.47*C6/100</f>
        <v>91.763999999999996</v>
      </c>
      <c r="L6" s="1">
        <f>0.27*C6/100</f>
        <v>0.32400000000000007</v>
      </c>
    </row>
    <row r="7" spans="1:12" x14ac:dyDescent="0.3">
      <c r="A7" s="1">
        <v>1</v>
      </c>
      <c r="B7" s="1" t="s">
        <v>15</v>
      </c>
      <c r="C7" s="1">
        <v>30</v>
      </c>
      <c r="D7" s="1">
        <f>6.22*C7/100</f>
        <v>1.8659999999999999</v>
      </c>
      <c r="E7" s="1">
        <f>18.08*C7/100</f>
        <v>5.4239999999999995</v>
      </c>
      <c r="F7" s="1">
        <f>67.35*C7/100</f>
        <v>20.204999999999998</v>
      </c>
      <c r="G7" s="1">
        <f>569.69*C7/100</f>
        <v>170.90700000000001</v>
      </c>
      <c r="H7" s="1">
        <f>0.12*C7/100</f>
        <v>3.5999999999999997E-2</v>
      </c>
      <c r="I7" s="1">
        <f>0.08*C7/100</f>
        <v>2.4E-2</v>
      </c>
      <c r="J7" s="1">
        <f t="shared" ref="J7" si="0">0*C7/100</f>
        <v>0</v>
      </c>
      <c r="K7" s="1">
        <f>23.25*C7/100</f>
        <v>6.9749999999999996</v>
      </c>
      <c r="L7" s="1">
        <f>1.55*C7/100</f>
        <v>0.46500000000000002</v>
      </c>
    </row>
    <row r="8" spans="1:12" x14ac:dyDescent="0.3">
      <c r="A8" s="1"/>
      <c r="B8" s="1"/>
      <c r="C8" s="3">
        <f>C5+C6+C7</f>
        <v>350</v>
      </c>
      <c r="D8" s="3">
        <f t="shared" ref="D8:L8" si="1">SUM(D5:D7)</f>
        <v>8.3859999999999992</v>
      </c>
      <c r="E8" s="3">
        <f t="shared" si="1"/>
        <v>9.44</v>
      </c>
      <c r="F8" s="3">
        <f t="shared" si="1"/>
        <v>40.573</v>
      </c>
      <c r="G8" s="3">
        <f t="shared" si="1"/>
        <v>280.10300000000001</v>
      </c>
      <c r="H8" s="3">
        <f t="shared" si="1"/>
        <v>52.072000000000003</v>
      </c>
      <c r="I8" s="3">
        <f t="shared" si="1"/>
        <v>40.131999999999998</v>
      </c>
      <c r="J8" s="3">
        <f t="shared" si="1"/>
        <v>0.96</v>
      </c>
      <c r="K8" s="3">
        <f t="shared" si="1"/>
        <v>100.73899999999999</v>
      </c>
      <c r="L8" s="3">
        <f t="shared" si="1"/>
        <v>2.7889999999999997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138</v>
      </c>
      <c r="B10" s="1" t="s">
        <v>16</v>
      </c>
      <c r="C10" s="1">
        <v>85</v>
      </c>
      <c r="D10" s="1">
        <f>1.16*C10/100</f>
        <v>0.98599999999999999</v>
      </c>
      <c r="E10" s="1">
        <f>1.62*C10/100</f>
        <v>1.3770000000000002</v>
      </c>
      <c r="F10" s="1">
        <f>13.95*C10/100</f>
        <v>11.8575</v>
      </c>
      <c r="G10" s="1">
        <f>54.34*C10/100</f>
        <v>46.189000000000007</v>
      </c>
      <c r="H10" s="1">
        <f>0.01*C10/100</f>
        <v>8.5000000000000006E-3</v>
      </c>
      <c r="I10" s="1">
        <f>0.07*C10/100</f>
        <v>5.9500000000000004E-2</v>
      </c>
      <c r="J10" s="1">
        <f>0.33*C10/100</f>
        <v>0.28050000000000003</v>
      </c>
      <c r="K10" s="1">
        <f>64.05*C10/100</f>
        <v>54.442500000000003</v>
      </c>
      <c r="L10" s="1">
        <f>0.32*C10/100</f>
        <v>0.27200000000000002</v>
      </c>
    </row>
    <row r="11" spans="1:12" x14ac:dyDescent="0.3">
      <c r="A11" s="1" t="s">
        <v>17</v>
      </c>
      <c r="B11" s="1" t="s">
        <v>18</v>
      </c>
      <c r="C11" s="1">
        <v>15</v>
      </c>
      <c r="D11" s="1">
        <f>6.92*C11/100</f>
        <v>1.038</v>
      </c>
      <c r="E11" s="1">
        <f>15.11*C11/100</f>
        <v>2.2664999999999997</v>
      </c>
      <c r="F11" s="1">
        <f>10.5*C11/100</f>
        <v>1.575</v>
      </c>
      <c r="G11" s="1">
        <f>207*C11/100</f>
        <v>31.05</v>
      </c>
      <c r="H11" s="1">
        <f>0.33*C11/100</f>
        <v>4.9500000000000002E-2</v>
      </c>
      <c r="I11" s="1">
        <f t="shared" ref="I11" si="2">0*C11/100</f>
        <v>0</v>
      </c>
      <c r="J11" s="1">
        <f t="shared" ref="J11" si="3">0*C11/100</f>
        <v>0</v>
      </c>
      <c r="K11" s="1">
        <f>186.67*C11/100</f>
        <v>28.000499999999999</v>
      </c>
      <c r="L11" s="1">
        <f>1.83*C11/100</f>
        <v>0.27450000000000002</v>
      </c>
    </row>
    <row r="12" spans="1:12" x14ac:dyDescent="0.3">
      <c r="A12" s="1"/>
      <c r="B12" s="1"/>
      <c r="C12" s="3">
        <f>C10+C11</f>
        <v>100</v>
      </c>
      <c r="D12" s="3">
        <f>SUM(D10:D11)</f>
        <v>2.024</v>
      </c>
      <c r="E12" s="3">
        <f t="shared" ref="E12:L12" si="4">SUM(E10:E11)</f>
        <v>3.6435</v>
      </c>
      <c r="F12" s="3">
        <f t="shared" si="4"/>
        <v>13.432499999999999</v>
      </c>
      <c r="G12" s="3">
        <f t="shared" si="4"/>
        <v>77.239000000000004</v>
      </c>
      <c r="H12" s="3">
        <f t="shared" si="4"/>
        <v>5.8000000000000003E-2</v>
      </c>
      <c r="I12" s="3">
        <f t="shared" si="4"/>
        <v>5.9500000000000004E-2</v>
      </c>
      <c r="J12" s="3">
        <f t="shared" si="4"/>
        <v>0.28050000000000003</v>
      </c>
      <c r="K12" s="3">
        <f t="shared" si="4"/>
        <v>82.442999999999998</v>
      </c>
      <c r="L12" s="3">
        <f t="shared" si="4"/>
        <v>0.54649999999999999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>
        <v>44</v>
      </c>
      <c r="B14" s="1" t="s">
        <v>33</v>
      </c>
      <c r="C14" s="1">
        <v>150</v>
      </c>
      <c r="D14" s="1">
        <f>4.07*C14/100</f>
        <v>6.1050000000000004</v>
      </c>
      <c r="E14" s="1">
        <f>1.04*C14/100</f>
        <v>1.56</v>
      </c>
      <c r="F14" s="1">
        <f>6.66*C14/100</f>
        <v>9.99</v>
      </c>
      <c r="G14" s="1">
        <f>60.34*C14/100</f>
        <v>90.51</v>
      </c>
      <c r="H14" s="1">
        <f>0.04*C14/100</f>
        <v>0.06</v>
      </c>
      <c r="I14" s="1">
        <f>0.04*C14/100</f>
        <v>0.06</v>
      </c>
      <c r="J14" s="1">
        <f>3.21*C14/100</f>
        <v>4.8150000000000004</v>
      </c>
      <c r="K14" s="1">
        <f>43.17*C14/100</f>
        <v>64.754999999999995</v>
      </c>
      <c r="L14" s="1">
        <f>0.52*C14/100</f>
        <v>0.78</v>
      </c>
    </row>
    <row r="15" spans="1:12" x14ac:dyDescent="0.3">
      <c r="A15" s="1">
        <v>286</v>
      </c>
      <c r="B15" s="1" t="s">
        <v>34</v>
      </c>
      <c r="C15" s="1">
        <v>50</v>
      </c>
      <c r="D15" s="1">
        <f>7.39*C15/100</f>
        <v>3.6949999999999998</v>
      </c>
      <c r="E15" s="1">
        <f>8.11*C15/100</f>
        <v>4.0549999999999997</v>
      </c>
      <c r="F15" s="1">
        <f>33.96*C15/100</f>
        <v>16.98</v>
      </c>
      <c r="G15" s="1">
        <f>295.5*C15/100</f>
        <v>147.75</v>
      </c>
      <c r="H15" s="1">
        <f>0.05*C15/100</f>
        <v>2.5000000000000001E-2</v>
      </c>
      <c r="I15" s="1">
        <f>0.08*C15/100</f>
        <v>0.04</v>
      </c>
      <c r="J15" s="1">
        <f>0.71*C15/100</f>
        <v>0.35499999999999998</v>
      </c>
      <c r="K15" s="1">
        <f>36.58*C15/100</f>
        <v>18.29</v>
      </c>
      <c r="L15" s="1">
        <f>0.8*C15/100</f>
        <v>0.4</v>
      </c>
    </row>
    <row r="16" spans="1:12" x14ac:dyDescent="0.3">
      <c r="A16" s="1">
        <v>312</v>
      </c>
      <c r="B16" s="1" t="s">
        <v>35</v>
      </c>
      <c r="C16" s="1">
        <v>80</v>
      </c>
      <c r="D16" s="1">
        <f>2.34*C16/100</f>
        <v>1.8719999999999999</v>
      </c>
      <c r="E16" s="1">
        <f>13.11*C16/100</f>
        <v>10.488</v>
      </c>
      <c r="F16" s="1">
        <f>21.79*C16/100</f>
        <v>17.431999999999999</v>
      </c>
      <c r="G16" s="1">
        <f>140.12*C16/100</f>
        <v>112.096</v>
      </c>
      <c r="H16" s="1">
        <f>0.03*C16/100</f>
        <v>2.4E-2</v>
      </c>
      <c r="I16" s="1">
        <f>0.17*C16/100</f>
        <v>0.13600000000000001</v>
      </c>
      <c r="J16" s="1">
        <f>1.01*C16/100</f>
        <v>0.80799999999999994</v>
      </c>
      <c r="K16" s="1">
        <f>113.59*C16/100</f>
        <v>90.872000000000014</v>
      </c>
      <c r="L16" s="1">
        <f>0.25*C16/100</f>
        <v>0.2</v>
      </c>
    </row>
    <row r="17" spans="1:12" x14ac:dyDescent="0.3">
      <c r="A17" s="1" t="s">
        <v>17</v>
      </c>
      <c r="B17" s="1" t="s">
        <v>24</v>
      </c>
      <c r="C17" s="1">
        <v>30</v>
      </c>
      <c r="D17" s="1">
        <f>7.9*C17/100</f>
        <v>2.37</v>
      </c>
      <c r="E17" s="1">
        <f>1.15*C17/100</f>
        <v>0.34499999999999997</v>
      </c>
      <c r="F17" s="1">
        <f>48.03*C17/100</f>
        <v>14.409000000000001</v>
      </c>
      <c r="G17" s="1">
        <f>293.9*C17/100</f>
        <v>88.17</v>
      </c>
      <c r="H17" s="1">
        <f>0.2*C17/100</f>
        <v>0.06</v>
      </c>
      <c r="I17" s="1">
        <f>0*C17/100</f>
        <v>0</v>
      </c>
      <c r="J17" s="1">
        <f t="shared" ref="J17" si="5">0*C17/100</f>
        <v>0</v>
      </c>
      <c r="K17" s="1">
        <f>23*C17/100</f>
        <v>6.9</v>
      </c>
      <c r="L17" s="1">
        <f>1.9*C17/100</f>
        <v>0.56999999999999995</v>
      </c>
    </row>
    <row r="18" spans="1:12" x14ac:dyDescent="0.3">
      <c r="A18" s="1">
        <v>233</v>
      </c>
      <c r="B18" s="1" t="s">
        <v>36</v>
      </c>
      <c r="C18" s="1">
        <v>120</v>
      </c>
      <c r="D18" s="1">
        <f>0*C18/100</f>
        <v>0</v>
      </c>
      <c r="E18" s="1">
        <f>0*C18/100</f>
        <v>0</v>
      </c>
      <c r="F18" s="1">
        <f>9.98*C18/100</f>
        <v>11.976000000000001</v>
      </c>
      <c r="G18" s="1">
        <f>40*C18/100</f>
        <v>48</v>
      </c>
      <c r="H18" s="1">
        <f>0.3*C18/100</f>
        <v>0.36</v>
      </c>
      <c r="I18" s="1">
        <f>0.3*C18/100</f>
        <v>0.36</v>
      </c>
      <c r="J18" s="1">
        <f>15*C18/100</f>
        <v>18</v>
      </c>
      <c r="K18" s="1">
        <f>4.5*C18/100</f>
        <v>5.4</v>
      </c>
      <c r="L18" s="1">
        <f>0*C18/100</f>
        <v>0</v>
      </c>
    </row>
    <row r="19" spans="1:12" x14ac:dyDescent="0.3">
      <c r="A19" s="1"/>
      <c r="B19" s="1" t="s">
        <v>37</v>
      </c>
      <c r="C19" s="1">
        <v>20</v>
      </c>
      <c r="D19" s="1">
        <f>3.2*C19/100</f>
        <v>0.64</v>
      </c>
      <c r="E19" s="1">
        <f>0*C19/100</f>
        <v>0</v>
      </c>
      <c r="F19" s="1">
        <f>1.3*C19/100</f>
        <v>0.26</v>
      </c>
      <c r="G19" s="1">
        <f>19*C19/100</f>
        <v>3.8</v>
      </c>
      <c r="H19" s="1">
        <f>0*C19/100</f>
        <v>0</v>
      </c>
      <c r="I19" s="1">
        <f>0*C19/100</f>
        <v>0</v>
      </c>
      <c r="J19" s="1">
        <f>0*C19/100</f>
        <v>0</v>
      </c>
      <c r="K19" s="1">
        <f>0*C19/100</f>
        <v>0</v>
      </c>
      <c r="L19" s="1">
        <f>1.2*C19/100</f>
        <v>0.24</v>
      </c>
    </row>
    <row r="20" spans="1:12" x14ac:dyDescent="0.3">
      <c r="A20" s="1"/>
      <c r="B20" s="1"/>
      <c r="C20" s="3">
        <f>C14+C15+C16+C17+C18+C19</f>
        <v>450</v>
      </c>
      <c r="D20" s="3">
        <f>SUM(D14:D19)</f>
        <v>14.682000000000002</v>
      </c>
      <c r="E20" s="3">
        <f t="shared" ref="E20:L20" si="6">SUM(E14:E19)</f>
        <v>16.448</v>
      </c>
      <c r="F20" s="3">
        <f t="shared" si="6"/>
        <v>71.047000000000011</v>
      </c>
      <c r="G20" s="3">
        <f t="shared" si="6"/>
        <v>490.32600000000002</v>
      </c>
      <c r="H20" s="3">
        <f t="shared" si="6"/>
        <v>0.52899999999999991</v>
      </c>
      <c r="I20" s="3">
        <f t="shared" si="6"/>
        <v>0.59599999999999997</v>
      </c>
      <c r="J20" s="3">
        <f t="shared" si="6"/>
        <v>23.978000000000002</v>
      </c>
      <c r="K20" s="3">
        <f t="shared" si="6"/>
        <v>186.21700000000001</v>
      </c>
      <c r="L20" s="3">
        <f t="shared" si="6"/>
        <v>2.1900000000000004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491</v>
      </c>
      <c r="B22" s="1" t="s">
        <v>80</v>
      </c>
      <c r="C22" s="1">
        <v>60</v>
      </c>
      <c r="D22" s="1">
        <f>5.82*C22/100</f>
        <v>3.4920000000000004</v>
      </c>
      <c r="E22" s="1">
        <f>7.88*C22/100</f>
        <v>4.7279999999999998</v>
      </c>
      <c r="F22" s="1">
        <f>12.8*C22/100</f>
        <v>7.68</v>
      </c>
      <c r="G22" s="1">
        <f>116*C22/100</f>
        <v>69.599999999999994</v>
      </c>
      <c r="H22" s="1">
        <f>0.08*C22/100</f>
        <v>4.8000000000000001E-2</v>
      </c>
      <c r="I22" s="1">
        <f>0.06*C22/100</f>
        <v>3.5999999999999997E-2</v>
      </c>
      <c r="J22" s="1">
        <f>0.06*C22/100</f>
        <v>3.5999999999999997E-2</v>
      </c>
      <c r="K22" s="1">
        <f>18.4*C22/100</f>
        <v>11.04</v>
      </c>
      <c r="L22" s="1">
        <f>1.22*C22/100</f>
        <v>0.73199999999999998</v>
      </c>
    </row>
    <row r="23" spans="1:12" x14ac:dyDescent="0.3">
      <c r="A23" s="1">
        <v>126</v>
      </c>
      <c r="B23" s="1" t="s">
        <v>46</v>
      </c>
      <c r="C23" s="1">
        <v>140</v>
      </c>
      <c r="D23" s="1">
        <f>0.52*C23/100</f>
        <v>0.72799999999999998</v>
      </c>
      <c r="E23" s="1">
        <f>0*C23/100</f>
        <v>0</v>
      </c>
      <c r="F23" s="1">
        <f>9.08*C23/100</f>
        <v>12.712</v>
      </c>
      <c r="G23" s="1">
        <f>50.32*C23/100</f>
        <v>70.448000000000008</v>
      </c>
      <c r="H23" s="1">
        <f>0.01*C23/100</f>
        <v>1.4000000000000002E-2</v>
      </c>
      <c r="I23" s="1">
        <f>0.02*C23/100</f>
        <v>2.8000000000000004E-2</v>
      </c>
      <c r="J23" s="1">
        <f>0.4*C23/100</f>
        <v>0.56000000000000005</v>
      </c>
      <c r="K23" s="1">
        <f>20.57*C23/100</f>
        <v>28.798000000000002</v>
      </c>
      <c r="L23" s="1">
        <f>0.34*C23/100</f>
        <v>0.47600000000000003</v>
      </c>
    </row>
    <row r="24" spans="1:12" x14ac:dyDescent="0.3">
      <c r="A24" s="1"/>
      <c r="B24" s="1"/>
      <c r="C24" s="3">
        <f>C22+C23</f>
        <v>200</v>
      </c>
      <c r="D24" s="3">
        <f>SUM(D22:D23)</f>
        <v>4.2200000000000006</v>
      </c>
      <c r="E24" s="3">
        <f t="shared" ref="E24:L24" si="7">SUM(E22:E23)</f>
        <v>4.7279999999999998</v>
      </c>
      <c r="F24" s="3">
        <f t="shared" si="7"/>
        <v>20.391999999999999</v>
      </c>
      <c r="G24" s="3">
        <f t="shared" si="7"/>
        <v>140.048</v>
      </c>
      <c r="H24" s="3">
        <f t="shared" si="7"/>
        <v>6.2E-2</v>
      </c>
      <c r="I24" s="3">
        <f t="shared" si="7"/>
        <v>6.4000000000000001E-2</v>
      </c>
      <c r="J24" s="3">
        <f t="shared" si="7"/>
        <v>0.59600000000000009</v>
      </c>
      <c r="K24" s="3">
        <f t="shared" si="7"/>
        <v>39.838000000000001</v>
      </c>
      <c r="L24" s="3">
        <f t="shared" si="7"/>
        <v>1.208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 t="s">
        <v>17</v>
      </c>
      <c r="B26" s="1" t="s">
        <v>21</v>
      </c>
      <c r="C26" s="1">
        <v>30</v>
      </c>
      <c r="D26" s="1">
        <f>6*C26/100</f>
        <v>1.8</v>
      </c>
      <c r="E26" s="1">
        <f>7*C26/100</f>
        <v>2.1</v>
      </c>
      <c r="F26" s="1">
        <f>10.26*C26/100</f>
        <v>3.0780000000000003</v>
      </c>
      <c r="G26" s="1">
        <f>126*C26/100</f>
        <v>37.799999999999997</v>
      </c>
      <c r="H26" s="1">
        <f>0.13*C26/100</f>
        <v>3.9000000000000007E-2</v>
      </c>
      <c r="I26" s="1">
        <f t="shared" ref="I26" si="8">0*C26/100</f>
        <v>0</v>
      </c>
      <c r="J26" s="1">
        <f t="shared" ref="J26" si="9">0*C26/100</f>
        <v>0</v>
      </c>
      <c r="K26" s="1">
        <f>20*C26/100</f>
        <v>6</v>
      </c>
      <c r="L26" s="1">
        <f>1.53*C26/100</f>
        <v>0.45899999999999996</v>
      </c>
    </row>
    <row r="27" spans="1:12" x14ac:dyDescent="0.3">
      <c r="A27" s="1">
        <v>134</v>
      </c>
      <c r="B27" s="1" t="s">
        <v>20</v>
      </c>
      <c r="C27" s="1">
        <v>70</v>
      </c>
      <c r="D27" s="1">
        <f>0.5*C27/100</f>
        <v>0.35</v>
      </c>
      <c r="E27" s="1">
        <f>0.36*C27/100</f>
        <v>0.252</v>
      </c>
      <c r="F27" s="1">
        <f>10.1*C27/100</f>
        <v>7.07</v>
      </c>
      <c r="G27" s="1">
        <f>46*C27/100</f>
        <v>32.200000000000003</v>
      </c>
      <c r="H27" s="1">
        <f>0.01*C27/100</f>
        <v>7.000000000000001E-3</v>
      </c>
      <c r="I27" s="1">
        <f>0.01*C27/100</f>
        <v>7.000000000000001E-3</v>
      </c>
      <c r="J27" s="1">
        <f>2*C27/100</f>
        <v>1.4</v>
      </c>
      <c r="K27" s="1">
        <f>7*C27/100</f>
        <v>4.9000000000000004</v>
      </c>
      <c r="L27" s="1">
        <f>1.4*C27/100</f>
        <v>0.98</v>
      </c>
    </row>
    <row r="28" spans="1:12" x14ac:dyDescent="0.3">
      <c r="A28" s="1"/>
      <c r="B28" s="1"/>
      <c r="C28" s="3">
        <f>C26+C27</f>
        <v>100</v>
      </c>
      <c r="D28" s="3">
        <f>SUM(D26:D27)</f>
        <v>2.15</v>
      </c>
      <c r="E28" s="3">
        <f t="shared" ref="E28:L28" si="10">SUM(E26:E27)</f>
        <v>2.3520000000000003</v>
      </c>
      <c r="F28" s="3">
        <f t="shared" si="10"/>
        <v>10.148</v>
      </c>
      <c r="G28" s="3">
        <f t="shared" si="10"/>
        <v>70</v>
      </c>
      <c r="H28" s="3">
        <f t="shared" si="10"/>
        <v>4.6000000000000006E-2</v>
      </c>
      <c r="I28" s="3">
        <f t="shared" si="10"/>
        <v>7.000000000000001E-3</v>
      </c>
      <c r="J28" s="3">
        <f t="shared" si="10"/>
        <v>1.4</v>
      </c>
      <c r="K28" s="3">
        <f t="shared" si="10"/>
        <v>10.9</v>
      </c>
      <c r="L28" s="3">
        <f t="shared" si="10"/>
        <v>1.4390000000000001</v>
      </c>
    </row>
    <row r="29" spans="1:12" x14ac:dyDescent="0.3">
      <c r="A29" s="1"/>
      <c r="B29" s="3" t="s">
        <v>30</v>
      </c>
      <c r="C29" s="3"/>
      <c r="D29" s="3">
        <f>D8+D12+D20+D24+D28</f>
        <v>31.462000000000003</v>
      </c>
      <c r="E29" s="3">
        <f t="shared" ref="E29:L29" si="11">E8+E12+E20+E24+E28</f>
        <v>36.611500000000007</v>
      </c>
      <c r="F29" s="3">
        <f t="shared" si="11"/>
        <v>155.5925</v>
      </c>
      <c r="G29" s="3">
        <f t="shared" si="11"/>
        <v>1057.7159999999999</v>
      </c>
      <c r="H29" s="3">
        <f t="shared" si="11"/>
        <v>52.767000000000003</v>
      </c>
      <c r="I29" s="3">
        <f t="shared" si="11"/>
        <v>40.858499999999992</v>
      </c>
      <c r="J29" s="3">
        <f t="shared" si="11"/>
        <v>27.214500000000001</v>
      </c>
      <c r="K29" s="3">
        <f t="shared" si="11"/>
        <v>420.137</v>
      </c>
      <c r="L29" s="3">
        <f t="shared" si="11"/>
        <v>8.1724999999999994</v>
      </c>
    </row>
    <row r="30" spans="1:12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4" workbookViewId="0">
      <selection activeCell="C33" sqref="C33"/>
    </sheetView>
  </sheetViews>
  <sheetFormatPr defaultRowHeight="14.4" x14ac:dyDescent="0.3"/>
  <cols>
    <col min="1" max="1" width="5.33203125" customWidth="1"/>
    <col min="2" max="2" width="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39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93</v>
      </c>
      <c r="B5" s="1" t="s">
        <v>49</v>
      </c>
      <c r="C5" s="1">
        <v>150</v>
      </c>
      <c r="D5" s="1">
        <f>2.02*C5/100</f>
        <v>3.03</v>
      </c>
      <c r="E5" s="1">
        <f>1.8*C5/100</f>
        <v>2.7</v>
      </c>
      <c r="F5" s="1">
        <f>9.42*C5/100</f>
        <v>14.13</v>
      </c>
      <c r="G5" s="1">
        <f>73.88*C5/100</f>
        <v>110.82</v>
      </c>
      <c r="H5" s="1">
        <f>0.04*C5/100</f>
        <v>0.06</v>
      </c>
      <c r="I5" s="1">
        <f>0.011*C5/100</f>
        <v>1.6500000000000001E-2</v>
      </c>
      <c r="J5" s="1">
        <f>0.46*C5/100</f>
        <v>0.69</v>
      </c>
      <c r="K5" s="1">
        <f>82.37*C5/100</f>
        <v>123.55500000000001</v>
      </c>
      <c r="L5" s="1">
        <f>0.27*C5/100</f>
        <v>0.40500000000000003</v>
      </c>
    </row>
    <row r="6" spans="1:12" x14ac:dyDescent="0.3">
      <c r="A6" s="1">
        <v>6</v>
      </c>
      <c r="B6" s="1" t="s">
        <v>41</v>
      </c>
      <c r="C6" s="1">
        <v>40</v>
      </c>
      <c r="D6" s="1">
        <f>8.08*C6/100</f>
        <v>3.2319999999999998</v>
      </c>
      <c r="E6" s="1">
        <f>10.64*C6/100</f>
        <v>4.2560000000000002</v>
      </c>
      <c r="F6" s="1">
        <f>30.91*C6/100</f>
        <v>12.364000000000001</v>
      </c>
      <c r="G6" s="1">
        <f>197.98*C6/100</f>
        <v>79.191999999999993</v>
      </c>
      <c r="H6" s="1">
        <f>0.17*C6/100</f>
        <v>6.8000000000000005E-2</v>
      </c>
      <c r="I6" s="1">
        <f>0.44*C6/100</f>
        <v>0.17600000000000002</v>
      </c>
      <c r="J6" s="1">
        <f>0.33*C6/100</f>
        <v>0.13200000000000001</v>
      </c>
      <c r="K6" s="1">
        <f>215.99*C6/100</f>
        <v>86.396000000000001</v>
      </c>
      <c r="L6" s="1">
        <f>1.74*C6/100</f>
        <v>0.69599999999999995</v>
      </c>
    </row>
    <row r="7" spans="1:12" x14ac:dyDescent="0.3">
      <c r="A7" s="1">
        <v>138</v>
      </c>
      <c r="B7" s="1" t="s">
        <v>16</v>
      </c>
      <c r="C7" s="1">
        <v>160</v>
      </c>
      <c r="D7" s="1">
        <f>1.36*C7/100</f>
        <v>2.1760000000000002</v>
      </c>
      <c r="E7" s="1">
        <f>1.52*C7/100</f>
        <v>2.4319999999999999</v>
      </c>
      <c r="F7" s="1">
        <f>8.85*C7/100</f>
        <v>14.16</v>
      </c>
      <c r="G7" s="1">
        <f>56.34*C7/100</f>
        <v>90.14400000000002</v>
      </c>
      <c r="H7" s="1">
        <f>0.01*C7/100</f>
        <v>1.6E-2</v>
      </c>
      <c r="I7" s="1">
        <f>0.07*C7/100</f>
        <v>0.11200000000000002</v>
      </c>
      <c r="J7" s="1">
        <f>0.33*C7/100</f>
        <v>0.52800000000000002</v>
      </c>
      <c r="K7" s="1">
        <f>64.05*C7/100</f>
        <v>102.48</v>
      </c>
      <c r="L7" s="1">
        <f>0.32*C7/100</f>
        <v>0.51200000000000001</v>
      </c>
    </row>
    <row r="8" spans="1:12" x14ac:dyDescent="0.3">
      <c r="A8" s="1"/>
      <c r="B8" s="1"/>
      <c r="C8" s="3">
        <f>C5+C6+C7</f>
        <v>350</v>
      </c>
      <c r="D8" s="3">
        <f t="shared" ref="D8:L8" si="0">SUM(D5:D7)</f>
        <v>8.4379999999999988</v>
      </c>
      <c r="E8" s="3">
        <f t="shared" si="0"/>
        <v>9.3879999999999999</v>
      </c>
      <c r="F8" s="3">
        <f t="shared" si="0"/>
        <v>40.653999999999996</v>
      </c>
      <c r="G8" s="3">
        <f t="shared" si="0"/>
        <v>280.15600000000001</v>
      </c>
      <c r="H8" s="3">
        <f t="shared" si="0"/>
        <v>0.14400000000000002</v>
      </c>
      <c r="I8" s="3">
        <f t="shared" si="0"/>
        <v>0.30449999999999999</v>
      </c>
      <c r="J8" s="3">
        <f t="shared" si="0"/>
        <v>1.35</v>
      </c>
      <c r="K8" s="3">
        <f t="shared" si="0"/>
        <v>312.43100000000004</v>
      </c>
      <c r="L8" s="3">
        <f t="shared" si="0"/>
        <v>1.613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134</v>
      </c>
      <c r="B10" s="1" t="s">
        <v>20</v>
      </c>
      <c r="C10" s="1">
        <v>120</v>
      </c>
      <c r="D10" s="1">
        <f>0.5*C10/100</f>
        <v>0.6</v>
      </c>
      <c r="E10" s="1">
        <f>0.1*C10/100</f>
        <v>0.12</v>
      </c>
      <c r="F10" s="1">
        <f>5.96*C10/100</f>
        <v>7.1520000000000001</v>
      </c>
      <c r="G10" s="1">
        <f>33*C10/100</f>
        <v>39.6</v>
      </c>
      <c r="H10" s="1">
        <f>0.01*C10/100</f>
        <v>1.2E-2</v>
      </c>
      <c r="I10" s="1">
        <f>0.01*C10/100</f>
        <v>1.2E-2</v>
      </c>
      <c r="J10" s="1">
        <f>2*C10/100</f>
        <v>2.4</v>
      </c>
      <c r="K10" s="1">
        <f>7*C10/100</f>
        <v>8.4</v>
      </c>
      <c r="L10" s="1">
        <f>1.4*C10/100</f>
        <v>1.68</v>
      </c>
    </row>
    <row r="11" spans="1:12" x14ac:dyDescent="0.3">
      <c r="A11" s="1" t="s">
        <v>17</v>
      </c>
      <c r="B11" s="1" t="s">
        <v>18</v>
      </c>
      <c r="C11" s="1">
        <v>15</v>
      </c>
      <c r="D11" s="1">
        <f>9.92*C11/100</f>
        <v>1.4880000000000002</v>
      </c>
      <c r="E11" s="1">
        <f>14.57*C11/100</f>
        <v>2.1855000000000002</v>
      </c>
      <c r="F11" s="1">
        <f>19.92*C11/100</f>
        <v>2.988</v>
      </c>
      <c r="G11" s="1">
        <f>203*C11/100</f>
        <v>30.45</v>
      </c>
      <c r="H11" s="1">
        <f>0.33*C11/100</f>
        <v>4.9500000000000002E-2</v>
      </c>
      <c r="I11" s="1">
        <f>0*C11/100</f>
        <v>0</v>
      </c>
      <c r="J11" s="1">
        <f>0*C11/100</f>
        <v>0</v>
      </c>
      <c r="K11" s="1">
        <f>186.67*C11/100</f>
        <v>28.000499999999999</v>
      </c>
      <c r="L11" s="1">
        <f>1.83*C11/100</f>
        <v>0.27450000000000002</v>
      </c>
    </row>
    <row r="12" spans="1:12" x14ac:dyDescent="0.3">
      <c r="A12" s="1"/>
      <c r="B12" s="1"/>
      <c r="C12" s="3">
        <f>C10+C11</f>
        <v>135</v>
      </c>
      <c r="D12" s="3">
        <f t="shared" ref="D12:L12" si="1">SUM(D10:D11)</f>
        <v>2.0880000000000001</v>
      </c>
      <c r="E12" s="3">
        <f t="shared" si="1"/>
        <v>2.3055000000000003</v>
      </c>
      <c r="F12" s="3">
        <f t="shared" si="1"/>
        <v>10.14</v>
      </c>
      <c r="G12" s="3">
        <f t="shared" si="1"/>
        <v>70.05</v>
      </c>
      <c r="H12" s="3">
        <f t="shared" si="1"/>
        <v>6.1499999999999999E-2</v>
      </c>
      <c r="I12" s="3">
        <f t="shared" si="1"/>
        <v>1.2E-2</v>
      </c>
      <c r="J12" s="3">
        <f t="shared" si="1"/>
        <v>2.4</v>
      </c>
      <c r="K12" s="3">
        <f t="shared" si="1"/>
        <v>36.400500000000001</v>
      </c>
      <c r="L12" s="3">
        <f t="shared" si="1"/>
        <v>1.9544999999999999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>
        <v>108</v>
      </c>
      <c r="B14" s="1" t="s">
        <v>42</v>
      </c>
      <c r="C14" s="1">
        <v>130</v>
      </c>
      <c r="D14" s="1">
        <f>0.14*C14/100</f>
        <v>0.18200000000000002</v>
      </c>
      <c r="E14" s="1">
        <f>1.08*C14/100</f>
        <v>1.4040000000000001</v>
      </c>
      <c r="F14" s="1">
        <f>12.58*C14/100</f>
        <v>16.353999999999999</v>
      </c>
      <c r="G14" s="1">
        <f>13.24*C14/100</f>
        <v>17.212</v>
      </c>
      <c r="H14" s="1">
        <f>0*C14/100</f>
        <v>0</v>
      </c>
      <c r="I14" s="1">
        <f>0.04*C14/100</f>
        <v>5.2000000000000005E-2</v>
      </c>
      <c r="J14" s="1">
        <f>0.77*C14/100</f>
        <v>1.0010000000000001</v>
      </c>
      <c r="K14" s="1">
        <f>34.41*C14/100</f>
        <v>44.73299999999999</v>
      </c>
      <c r="L14" s="1">
        <f>0.32*C14/100</f>
        <v>0.41600000000000004</v>
      </c>
    </row>
    <row r="15" spans="1:12" x14ac:dyDescent="0.3">
      <c r="A15" s="1">
        <v>110</v>
      </c>
      <c r="B15" s="1" t="s">
        <v>43</v>
      </c>
      <c r="C15" s="1">
        <v>50</v>
      </c>
      <c r="D15" s="1">
        <f>22.06*C15/100</f>
        <v>11.03</v>
      </c>
      <c r="E15" s="1">
        <f>7.01*C15/100</f>
        <v>3.5049999999999999</v>
      </c>
      <c r="F15" s="1">
        <f>21.69*C15/100</f>
        <v>10.845000000000001</v>
      </c>
      <c r="G15" s="1">
        <f>232.47*C15/100</f>
        <v>116.235</v>
      </c>
      <c r="H15" s="1">
        <f>0.12*C15/100</f>
        <v>0.06</v>
      </c>
      <c r="I15" s="1">
        <f>0.12*C15/100</f>
        <v>0.06</v>
      </c>
      <c r="J15" s="1">
        <f>1.34*C15/100</f>
        <v>0.67</v>
      </c>
      <c r="K15" s="1">
        <f>16.9*C15/100</f>
        <v>8.4499999999999993</v>
      </c>
      <c r="L15" s="1">
        <f>1.24*C15/100</f>
        <v>0.62</v>
      </c>
    </row>
    <row r="16" spans="1:12" x14ac:dyDescent="0.3">
      <c r="A16" s="1">
        <v>302</v>
      </c>
      <c r="B16" s="1" t="s">
        <v>77</v>
      </c>
      <c r="C16" s="1">
        <v>65</v>
      </c>
      <c r="D16" s="1">
        <f>0.38*C16/100</f>
        <v>0.247</v>
      </c>
      <c r="E16" s="1">
        <f>14.1*C16/100</f>
        <v>9.1649999999999991</v>
      </c>
      <c r="F16" s="1">
        <f>12.62*C16/100</f>
        <v>8.2029999999999994</v>
      </c>
      <c r="G16" s="1">
        <f>281.38*C16/100</f>
        <v>182.89700000000002</v>
      </c>
      <c r="H16" s="1">
        <f>0*C16/100</f>
        <v>0</v>
      </c>
      <c r="I16" s="1">
        <f>0.07*C16/100</f>
        <v>4.5500000000000006E-2</v>
      </c>
      <c r="J16" s="1">
        <f>0*C16/100</f>
        <v>0</v>
      </c>
      <c r="K16" s="1">
        <f>91.11*C16/100</f>
        <v>59.221499999999999</v>
      </c>
      <c r="L16" s="1">
        <f>0.8*C16/100</f>
        <v>0.52</v>
      </c>
    </row>
    <row r="17" spans="1:12" ht="21.6" x14ac:dyDescent="0.3">
      <c r="A17" s="1">
        <v>18</v>
      </c>
      <c r="B17" s="2" t="s">
        <v>45</v>
      </c>
      <c r="C17" s="1">
        <v>45</v>
      </c>
      <c r="D17" s="1">
        <f>0.84*C17/100</f>
        <v>0.37799999999999995</v>
      </c>
      <c r="E17" s="1">
        <f>4.61*C17/100</f>
        <v>2.0745</v>
      </c>
      <c r="F17" s="1">
        <f>8.07*C17/100</f>
        <v>3.6315000000000004</v>
      </c>
      <c r="G17" s="1">
        <f>88.46*C17/100</f>
        <v>39.806999999999995</v>
      </c>
      <c r="H17" s="1">
        <f>0.04*C17/100</f>
        <v>1.8000000000000002E-2</v>
      </c>
      <c r="I17" s="1">
        <f>0.05*C17/100</f>
        <v>2.2499999999999999E-2</v>
      </c>
      <c r="J17" s="1">
        <f>3.21*C17/100</f>
        <v>1.4444999999999999</v>
      </c>
      <c r="K17" s="1">
        <f>35.96*C17/100</f>
        <v>16.182000000000002</v>
      </c>
      <c r="L17" s="1">
        <f>11.36*C17/100</f>
        <v>5.1120000000000001</v>
      </c>
    </row>
    <row r="18" spans="1:12" x14ac:dyDescent="0.3">
      <c r="A18" s="1" t="s">
        <v>17</v>
      </c>
      <c r="B18" s="1" t="s">
        <v>24</v>
      </c>
      <c r="C18" s="1">
        <v>30</v>
      </c>
      <c r="D18" s="1">
        <f>7.2*C18/100</f>
        <v>2.16</v>
      </c>
      <c r="E18" s="1">
        <f>1*C18/100</f>
        <v>0.3</v>
      </c>
      <c r="F18" s="1">
        <f>48.3*C18/100</f>
        <v>14.49</v>
      </c>
      <c r="G18" s="1">
        <f>213.6*C18/100</f>
        <v>64.08</v>
      </c>
      <c r="H18" s="1">
        <f>0.2*C18/100</f>
        <v>0.06</v>
      </c>
      <c r="I18" s="1">
        <f>0*C18/100</f>
        <v>0</v>
      </c>
      <c r="J18" s="1">
        <f>0*C18/100</f>
        <v>0</v>
      </c>
      <c r="K18" s="1">
        <f>23*C18/100</f>
        <v>6.9</v>
      </c>
      <c r="L18" s="1">
        <f>1.9*C18/100</f>
        <v>0.56999999999999995</v>
      </c>
    </row>
    <row r="19" spans="1:12" x14ac:dyDescent="0.3">
      <c r="A19" s="1">
        <v>126</v>
      </c>
      <c r="B19" s="1" t="s">
        <v>46</v>
      </c>
      <c r="C19" s="1">
        <v>130</v>
      </c>
      <c r="D19" s="1">
        <f>0.52*C19/100</f>
        <v>0.67600000000000005</v>
      </c>
      <c r="E19" s="1">
        <f>0*C19/100</f>
        <v>0</v>
      </c>
      <c r="F19" s="1">
        <f>13.48*C19/100</f>
        <v>17.524000000000001</v>
      </c>
      <c r="G19" s="1">
        <f>53.72*C19/100</f>
        <v>69.835999999999999</v>
      </c>
      <c r="H19" s="1">
        <f>0.01*C19/100</f>
        <v>1.3000000000000001E-2</v>
      </c>
      <c r="I19" s="1">
        <f>0.02*C19/100</f>
        <v>2.6000000000000002E-2</v>
      </c>
      <c r="J19" s="1">
        <f>0.4*C19/100</f>
        <v>0.52</v>
      </c>
      <c r="K19" s="1">
        <f>20.57*C19/100</f>
        <v>26.741</v>
      </c>
      <c r="L19" s="1">
        <f>0.34*C19/100</f>
        <v>0.442</v>
      </c>
    </row>
    <row r="20" spans="1:12" x14ac:dyDescent="0.3">
      <c r="A20" s="1"/>
      <c r="B20" s="1"/>
      <c r="C20" s="3">
        <f>C14+C15+C16+C17+C18+C19</f>
        <v>450</v>
      </c>
      <c r="D20" s="3">
        <f t="shared" ref="D20:L20" si="2">SUM(D14:D19)</f>
        <v>14.673</v>
      </c>
      <c r="E20" s="3">
        <f t="shared" si="2"/>
        <v>16.448499999999999</v>
      </c>
      <c r="F20" s="3">
        <f t="shared" si="2"/>
        <v>71.047500000000014</v>
      </c>
      <c r="G20" s="3">
        <f t="shared" si="2"/>
        <v>490.06700000000006</v>
      </c>
      <c r="H20" s="3">
        <f t="shared" si="2"/>
        <v>0.15100000000000002</v>
      </c>
      <c r="I20" s="3">
        <f t="shared" si="2"/>
        <v>0.20599999999999999</v>
      </c>
      <c r="J20" s="3">
        <f t="shared" si="2"/>
        <v>3.6355</v>
      </c>
      <c r="K20" s="3">
        <f t="shared" si="2"/>
        <v>162.22750000000002</v>
      </c>
      <c r="L20" s="3">
        <f t="shared" si="2"/>
        <v>7.6800000000000006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454</v>
      </c>
      <c r="B22" s="1" t="s">
        <v>47</v>
      </c>
      <c r="C22" s="1">
        <v>50</v>
      </c>
      <c r="D22" s="1">
        <f>5.45*C22/100</f>
        <v>2.7250000000000001</v>
      </c>
      <c r="E22" s="1">
        <f>5.7*C22/100</f>
        <v>2.85</v>
      </c>
      <c r="F22" s="1">
        <f>16.74*C22/100</f>
        <v>8.3699999999999992</v>
      </c>
      <c r="G22" s="1">
        <f>175.78*C22/100</f>
        <v>87.89</v>
      </c>
      <c r="H22" s="1">
        <f>0.12*C22/100</f>
        <v>0.06</v>
      </c>
      <c r="I22" s="1">
        <f>0.1*C22/100</f>
        <v>0.05</v>
      </c>
      <c r="J22" s="1">
        <f>0.1*C22/100</f>
        <v>0.05</v>
      </c>
      <c r="K22" s="1">
        <f>21.4*C22/100</f>
        <v>10.7</v>
      </c>
      <c r="L22" s="1">
        <f>1.42*C22/100</f>
        <v>0.71</v>
      </c>
    </row>
    <row r="23" spans="1:12" x14ac:dyDescent="0.3">
      <c r="A23" s="1">
        <v>138</v>
      </c>
      <c r="B23" s="1" t="s">
        <v>16</v>
      </c>
      <c r="C23" s="1">
        <v>150</v>
      </c>
      <c r="D23" s="1">
        <f>1.02*C23/100</f>
        <v>1.53</v>
      </c>
      <c r="E23" s="1">
        <f>1.25*C23/100</f>
        <v>1.875</v>
      </c>
      <c r="F23" s="1">
        <f>7.95*C23/100</f>
        <v>11.925000000000001</v>
      </c>
      <c r="G23" s="1">
        <f>34.64*C23/100</f>
        <v>51.96</v>
      </c>
      <c r="H23" s="1">
        <f>0.01*C23/100</f>
        <v>1.4999999999999999E-2</v>
      </c>
      <c r="I23" s="1">
        <f>0.07*C23/100</f>
        <v>0.10500000000000002</v>
      </c>
      <c r="J23" s="1">
        <f>0.33*C23/100</f>
        <v>0.495</v>
      </c>
      <c r="K23" s="1">
        <f>64.05*C23/100</f>
        <v>96.075000000000003</v>
      </c>
      <c r="L23" s="1">
        <f>0.32*C23/100</f>
        <v>0.48</v>
      </c>
    </row>
    <row r="24" spans="1:12" x14ac:dyDescent="0.3">
      <c r="A24" s="1"/>
      <c r="B24" s="1"/>
      <c r="C24" s="3">
        <f>C22+C23</f>
        <v>200</v>
      </c>
      <c r="D24" s="3">
        <f t="shared" ref="D24:L24" si="3">SUM(D22:D23)</f>
        <v>4.2549999999999999</v>
      </c>
      <c r="E24" s="3">
        <f t="shared" si="3"/>
        <v>4.7249999999999996</v>
      </c>
      <c r="F24" s="3">
        <f t="shared" si="3"/>
        <v>20.295000000000002</v>
      </c>
      <c r="G24" s="3">
        <f t="shared" si="3"/>
        <v>139.85</v>
      </c>
      <c r="H24" s="3">
        <f t="shared" si="3"/>
        <v>7.4999999999999997E-2</v>
      </c>
      <c r="I24" s="3">
        <f t="shared" si="3"/>
        <v>0.15500000000000003</v>
      </c>
      <c r="J24" s="3">
        <f t="shared" si="3"/>
        <v>0.54500000000000004</v>
      </c>
      <c r="K24" s="3">
        <f t="shared" si="3"/>
        <v>106.77500000000001</v>
      </c>
      <c r="L24" s="3">
        <f t="shared" si="3"/>
        <v>1.19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 t="s">
        <v>17</v>
      </c>
      <c r="B26" s="1" t="s">
        <v>21</v>
      </c>
      <c r="C26" s="1">
        <v>10</v>
      </c>
      <c r="D26" s="1">
        <f>16.68*C26/100</f>
        <v>1.6680000000000001</v>
      </c>
      <c r="E26" s="1">
        <f>22.42*C26/100</f>
        <v>2.242</v>
      </c>
      <c r="F26" s="1">
        <f>10.59*C26/100</f>
        <v>1.0590000000000002</v>
      </c>
      <c r="G26" s="1">
        <f>291*C26/100</f>
        <v>29.1</v>
      </c>
      <c r="H26" s="1">
        <f>0.13*C26/100</f>
        <v>1.3000000000000001E-2</v>
      </c>
      <c r="I26" s="1">
        <f>0*C26/100</f>
        <v>0</v>
      </c>
      <c r="J26" s="1">
        <f>0*C26/100</f>
        <v>0</v>
      </c>
      <c r="K26" s="1">
        <f>20*C26/100</f>
        <v>2</v>
      </c>
      <c r="L26" s="1">
        <f>1.53*C26/100</f>
        <v>0.153</v>
      </c>
    </row>
    <row r="27" spans="1:12" x14ac:dyDescent="0.3">
      <c r="A27" s="1">
        <v>134</v>
      </c>
      <c r="B27" s="1" t="s">
        <v>20</v>
      </c>
      <c r="C27" s="1">
        <v>90</v>
      </c>
      <c r="D27" s="1">
        <f>0.5*C27/100</f>
        <v>0.45</v>
      </c>
      <c r="E27" s="1">
        <f>0.1*C27/100</f>
        <v>0.09</v>
      </c>
      <c r="F27" s="1">
        <f>10.1*C27/100</f>
        <v>9.09</v>
      </c>
      <c r="G27" s="1">
        <f>46*C27/100</f>
        <v>41.4</v>
      </c>
      <c r="H27" s="1">
        <f>0.01*C27/100</f>
        <v>9.0000000000000011E-3</v>
      </c>
      <c r="I27" s="1">
        <f>0.01*C27/100</f>
        <v>9.0000000000000011E-3</v>
      </c>
      <c r="J27" s="1">
        <f>2*C27/100</f>
        <v>1.8</v>
      </c>
      <c r="K27" s="1">
        <f>7*C27/100</f>
        <v>6.3</v>
      </c>
      <c r="L27" s="1">
        <f>1.4*C27/100</f>
        <v>1.2599999999999998</v>
      </c>
    </row>
    <row r="28" spans="1:12" x14ac:dyDescent="0.3">
      <c r="A28" s="1"/>
      <c r="B28" s="1"/>
      <c r="C28" s="3">
        <f>C26+C27</f>
        <v>100</v>
      </c>
      <c r="D28" s="3">
        <f t="shared" ref="D28:L28" si="4">SUM(D26:D27)</f>
        <v>2.1180000000000003</v>
      </c>
      <c r="E28" s="3">
        <f t="shared" si="4"/>
        <v>2.3319999999999999</v>
      </c>
      <c r="F28" s="3">
        <f t="shared" si="4"/>
        <v>10.149000000000001</v>
      </c>
      <c r="G28" s="3">
        <f t="shared" si="4"/>
        <v>70.5</v>
      </c>
      <c r="H28" s="3">
        <f t="shared" si="4"/>
        <v>2.2000000000000002E-2</v>
      </c>
      <c r="I28" s="3">
        <f t="shared" si="4"/>
        <v>9.0000000000000011E-3</v>
      </c>
      <c r="J28" s="3">
        <f t="shared" si="4"/>
        <v>1.8</v>
      </c>
      <c r="K28" s="3">
        <f t="shared" si="4"/>
        <v>8.3000000000000007</v>
      </c>
      <c r="L28" s="3">
        <f t="shared" si="4"/>
        <v>1.4129999999999998</v>
      </c>
    </row>
    <row r="29" spans="1:12" x14ac:dyDescent="0.3">
      <c r="A29" s="1"/>
      <c r="B29" s="3" t="s">
        <v>30</v>
      </c>
      <c r="C29" s="3"/>
      <c r="D29" s="3">
        <f t="shared" ref="D29:L29" si="5">D8+D12+D20+D24+D28</f>
        <v>31.571999999999996</v>
      </c>
      <c r="E29" s="3">
        <f t="shared" si="5"/>
        <v>35.198999999999998</v>
      </c>
      <c r="F29" s="3">
        <f t="shared" si="5"/>
        <v>152.28550000000001</v>
      </c>
      <c r="G29" s="3">
        <f t="shared" si="5"/>
        <v>1050.623</v>
      </c>
      <c r="H29" s="3">
        <f t="shared" si="5"/>
        <v>0.45350000000000007</v>
      </c>
      <c r="I29" s="3">
        <f t="shared" si="5"/>
        <v>0.6865</v>
      </c>
      <c r="J29" s="3">
        <f t="shared" si="5"/>
        <v>9.730500000000001</v>
      </c>
      <c r="K29" s="3">
        <f t="shared" si="5"/>
        <v>626.13400000000001</v>
      </c>
      <c r="L29" s="3">
        <f t="shared" si="5"/>
        <v>13.8505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4" workbookViewId="0">
      <selection activeCell="D37" sqref="D37"/>
    </sheetView>
  </sheetViews>
  <sheetFormatPr defaultRowHeight="14.4" x14ac:dyDescent="0.3"/>
  <cols>
    <col min="1" max="1" width="5.44140625" customWidth="1"/>
    <col min="2" max="2" width="27.332031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48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67</v>
      </c>
      <c r="B5" s="1" t="s">
        <v>40</v>
      </c>
      <c r="C5" s="1">
        <v>160</v>
      </c>
      <c r="D5" s="1">
        <f>1.86*C5/100</f>
        <v>2.9760000000000004</v>
      </c>
      <c r="E5" s="1">
        <f>1.62*C5/100</f>
        <v>2.5920000000000005</v>
      </c>
      <c r="F5" s="1">
        <f>7.25*C5/100</f>
        <v>11.6</v>
      </c>
      <c r="G5" s="1">
        <f>43.75*C5/100</f>
        <v>70</v>
      </c>
      <c r="H5" s="1">
        <f>0.14*C5/100</f>
        <v>0.22400000000000003</v>
      </c>
      <c r="I5" s="1">
        <f>0.07*C5/100</f>
        <v>0.11200000000000002</v>
      </c>
      <c r="J5" s="1">
        <f>0*C5/100</f>
        <v>0</v>
      </c>
      <c r="K5" s="1">
        <f>9.49*C5/100</f>
        <v>15.184000000000001</v>
      </c>
      <c r="L5" s="1">
        <f>3.03*C5/100</f>
        <v>4.8479999999999999</v>
      </c>
    </row>
    <row r="6" spans="1:12" x14ac:dyDescent="0.3">
      <c r="A6" s="1" t="s">
        <v>17</v>
      </c>
      <c r="B6" s="1" t="s">
        <v>24</v>
      </c>
      <c r="C6" s="1">
        <v>30</v>
      </c>
      <c r="D6" s="1">
        <f>7.9*C6/100</f>
        <v>2.37</v>
      </c>
      <c r="E6" s="1">
        <f>1*C6/100</f>
        <v>0.3</v>
      </c>
      <c r="F6" s="1">
        <f>28.3*C6/100</f>
        <v>8.49</v>
      </c>
      <c r="G6" s="1">
        <f>113.6*C6/100</f>
        <v>34.08</v>
      </c>
      <c r="H6" s="1">
        <f>0.2*C6/100</f>
        <v>0.06</v>
      </c>
      <c r="I6" s="1">
        <f>0*C6/100</f>
        <v>0</v>
      </c>
      <c r="J6" s="1">
        <f t="shared" ref="J6" si="0">0*C6/100</f>
        <v>0</v>
      </c>
      <c r="K6" s="1">
        <f>23*C6/100</f>
        <v>6.9</v>
      </c>
      <c r="L6" s="1">
        <f>1.9*C6/100</f>
        <v>0.56999999999999995</v>
      </c>
    </row>
    <row r="7" spans="1:12" x14ac:dyDescent="0.3">
      <c r="A7" s="1">
        <v>138</v>
      </c>
      <c r="B7" s="1" t="s">
        <v>16</v>
      </c>
      <c r="C7" s="1">
        <v>160</v>
      </c>
      <c r="D7" s="1">
        <f>1.98*C7/100</f>
        <v>3.1680000000000001</v>
      </c>
      <c r="E7" s="1">
        <f>4.08*C7/100</f>
        <v>6.5279999999999996</v>
      </c>
      <c r="F7" s="1">
        <f>12.85*C7/100</f>
        <v>20.56</v>
      </c>
      <c r="G7" s="1">
        <f>110*C7/100</f>
        <v>176</v>
      </c>
      <c r="H7" s="1">
        <f>0.12*C7/100</f>
        <v>0.192</v>
      </c>
      <c r="I7" s="1">
        <f>0.08*C7/100</f>
        <v>0.128</v>
      </c>
      <c r="J7" s="1">
        <f t="shared" ref="J7" si="1">0*C7/100</f>
        <v>0</v>
      </c>
      <c r="K7" s="1">
        <f>23.25*C7/100</f>
        <v>37.200000000000003</v>
      </c>
      <c r="L7" s="1">
        <f>1.55*C7/100</f>
        <v>2.48</v>
      </c>
    </row>
    <row r="8" spans="1:12" ht="15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2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C5+C6+C7</f>
        <v>350</v>
      </c>
      <c r="D9" s="3">
        <f>SUM(D5:D8)</f>
        <v>8.5139999999999993</v>
      </c>
      <c r="E9" s="3">
        <f t="shared" ref="E9:L9" si="3">SUM(E5:E8)</f>
        <v>9.42</v>
      </c>
      <c r="F9" s="3">
        <f t="shared" si="3"/>
        <v>40.65</v>
      </c>
      <c r="G9" s="3">
        <f t="shared" si="3"/>
        <v>280.08</v>
      </c>
      <c r="H9" s="3">
        <f t="shared" si="3"/>
        <v>0.47600000000000003</v>
      </c>
      <c r="I9" s="3">
        <f t="shared" si="3"/>
        <v>0.24000000000000002</v>
      </c>
      <c r="J9" s="3">
        <f t="shared" si="3"/>
        <v>0</v>
      </c>
      <c r="K9" s="3">
        <f t="shared" si="3"/>
        <v>59.284000000000006</v>
      </c>
      <c r="L9" s="3">
        <f t="shared" si="3"/>
        <v>7.8979999999999997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90</v>
      </c>
      <c r="D11" s="1">
        <f>0.5*C11/100</f>
        <v>0.45</v>
      </c>
      <c r="E11" s="1">
        <f>0.1*C11/100</f>
        <v>0.09</v>
      </c>
      <c r="F11" s="1">
        <f>8.1*C11/100</f>
        <v>7.29</v>
      </c>
      <c r="G11" s="1">
        <f>46*C11/100</f>
        <v>41.4</v>
      </c>
      <c r="H11" s="1">
        <f>0.01*C11/100</f>
        <v>9.0000000000000011E-3</v>
      </c>
      <c r="I11" s="1">
        <f>0.01*C11/100</f>
        <v>9.0000000000000011E-3</v>
      </c>
      <c r="J11" s="1">
        <f>2*C11/100</f>
        <v>1.8</v>
      </c>
      <c r="K11" s="1">
        <f>7*C11/100</f>
        <v>6.3</v>
      </c>
      <c r="L11" s="1">
        <f>1.4*C11/100</f>
        <v>1.2599999999999998</v>
      </c>
    </row>
    <row r="12" spans="1:12" x14ac:dyDescent="0.3">
      <c r="A12" s="1" t="s">
        <v>17</v>
      </c>
      <c r="B12" s="1" t="s">
        <v>21</v>
      </c>
      <c r="C12" s="1">
        <v>10</v>
      </c>
      <c r="D12" s="1">
        <f>16.54*C12/100</f>
        <v>1.6539999999999997</v>
      </c>
      <c r="E12" s="1">
        <f>22.56*C12/100</f>
        <v>2.2559999999999998</v>
      </c>
      <c r="F12" s="1">
        <f>28.58*C12/100</f>
        <v>2.8579999999999997</v>
      </c>
      <c r="G12" s="1">
        <f>285*C12/100</f>
        <v>28.5</v>
      </c>
      <c r="H12" s="1">
        <f>0.13*C12/100</f>
        <v>1.3000000000000001E-2</v>
      </c>
      <c r="I12" s="1">
        <f t="shared" ref="I12" si="4">0*C12/100</f>
        <v>0</v>
      </c>
      <c r="J12" s="1">
        <f t="shared" ref="J12" si="5">0*C12/100</f>
        <v>0</v>
      </c>
      <c r="K12" s="1">
        <f>20*C12/100</f>
        <v>2</v>
      </c>
      <c r="L12" s="1">
        <f>1.53*C12/100</f>
        <v>0.153</v>
      </c>
    </row>
    <row r="13" spans="1:12" x14ac:dyDescent="0.3">
      <c r="A13" s="1"/>
      <c r="B13" s="1"/>
      <c r="C13" s="3">
        <f>C11+C12</f>
        <v>100</v>
      </c>
      <c r="D13" s="3">
        <f>SUM(D11:D12)</f>
        <v>2.1039999999999996</v>
      </c>
      <c r="E13" s="3">
        <f t="shared" ref="E13:L13" si="6">SUM(E11:E12)</f>
        <v>2.3459999999999996</v>
      </c>
      <c r="F13" s="3">
        <f t="shared" si="6"/>
        <v>10.148</v>
      </c>
      <c r="G13" s="3">
        <f t="shared" si="6"/>
        <v>69.900000000000006</v>
      </c>
      <c r="H13" s="3">
        <f t="shared" si="6"/>
        <v>2.2000000000000002E-2</v>
      </c>
      <c r="I13" s="3">
        <f t="shared" si="6"/>
        <v>9.0000000000000011E-3</v>
      </c>
      <c r="J13" s="3">
        <f t="shared" si="6"/>
        <v>1.8</v>
      </c>
      <c r="K13" s="3">
        <f t="shared" si="6"/>
        <v>8.3000000000000007</v>
      </c>
      <c r="L13" s="3">
        <f t="shared" si="6"/>
        <v>1.4129999999999998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82</v>
      </c>
      <c r="B15" s="1" t="s">
        <v>81</v>
      </c>
      <c r="C15" s="1">
        <v>150</v>
      </c>
      <c r="D15" s="1">
        <f>1.73*C15/100</f>
        <v>2.5950000000000002</v>
      </c>
      <c r="E15" s="1">
        <f>2.02*C15/100</f>
        <v>3.03</v>
      </c>
      <c r="F15" s="1">
        <f>12.33*C15/100</f>
        <v>18.495000000000001</v>
      </c>
      <c r="G15" s="1">
        <f>76.9*C15/100</f>
        <v>115.35</v>
      </c>
      <c r="H15" s="1">
        <f>0*C15/100</f>
        <v>0</v>
      </c>
      <c r="I15" s="1">
        <f>0*C15/100</f>
        <v>0</v>
      </c>
      <c r="J15" s="1">
        <f>5.16*C15/100</f>
        <v>7.74</v>
      </c>
      <c r="K15" s="1">
        <f>34.36*C15/100</f>
        <v>51.54</v>
      </c>
      <c r="L15" s="1">
        <f>0.34*C15/100</f>
        <v>0.51000000000000012</v>
      </c>
    </row>
    <row r="16" spans="1:12" x14ac:dyDescent="0.3">
      <c r="A16" s="1">
        <v>277</v>
      </c>
      <c r="B16" s="1" t="s">
        <v>79</v>
      </c>
      <c r="C16" s="1">
        <v>45</v>
      </c>
      <c r="D16" s="1">
        <f>9.52*C16/100</f>
        <v>4.2839999999999998</v>
      </c>
      <c r="E16" s="1">
        <f>23.65*C16/100</f>
        <v>10.6425</v>
      </c>
      <c r="F16" s="1">
        <f>5.18*C16/100</f>
        <v>2.331</v>
      </c>
      <c r="G16" s="1">
        <f>290.05*C16/100</f>
        <v>130.52250000000001</v>
      </c>
      <c r="H16" s="1">
        <f>0.08*C16/100</f>
        <v>3.6000000000000004E-2</v>
      </c>
      <c r="I16" s="1">
        <f>0.06*C16/100</f>
        <v>2.6999999999999996E-2</v>
      </c>
      <c r="J16" s="1">
        <f>4.16*C16/100</f>
        <v>1.8720000000000001</v>
      </c>
      <c r="K16" s="1">
        <f>42.96*C16/100</f>
        <v>19.332000000000001</v>
      </c>
      <c r="L16" s="1">
        <f>0.85*C16/100</f>
        <v>0.38250000000000001</v>
      </c>
    </row>
    <row r="17" spans="1:12" x14ac:dyDescent="0.3">
      <c r="A17" s="1">
        <v>315</v>
      </c>
      <c r="B17" s="1" t="s">
        <v>44</v>
      </c>
      <c r="C17" s="1">
        <v>60</v>
      </c>
      <c r="D17" s="1">
        <f>2.43*C17/100</f>
        <v>1.4580000000000002</v>
      </c>
      <c r="E17" s="1">
        <f>3.58*C17/100</f>
        <v>2.1480000000000001</v>
      </c>
      <c r="F17" s="1">
        <f>24.46*C17/100</f>
        <v>14.676000000000002</v>
      </c>
      <c r="G17" s="1">
        <f>139*C17/100</f>
        <v>83.4</v>
      </c>
      <c r="H17" s="1">
        <f>0.02*C17/100</f>
        <v>1.2E-2</v>
      </c>
      <c r="I17" s="1">
        <f>0.01*C17/100</f>
        <v>6.0000000000000001E-3</v>
      </c>
      <c r="J17" s="1">
        <f>0*C17/100</f>
        <v>0</v>
      </c>
      <c r="K17" s="1">
        <f>0.91*C17/100</f>
        <v>0.54600000000000004</v>
      </c>
      <c r="L17" s="1">
        <f>0.35*C17/100</f>
        <v>0.21</v>
      </c>
    </row>
    <row r="18" spans="1:12" x14ac:dyDescent="0.3">
      <c r="A18" s="1" t="s">
        <v>17</v>
      </c>
      <c r="B18" s="1" t="s">
        <v>25</v>
      </c>
      <c r="C18" s="1">
        <v>15</v>
      </c>
      <c r="D18" s="1">
        <f>23*C18/100</f>
        <v>3.45</v>
      </c>
      <c r="E18" s="1">
        <f>1.8*C18/100</f>
        <v>0.27</v>
      </c>
      <c r="F18" s="1">
        <f>53.3*C18/100</f>
        <v>7.9950000000000001</v>
      </c>
      <c r="G18" s="1">
        <f>302.1*C18/100</f>
        <v>45.314999999999998</v>
      </c>
      <c r="H18" s="1">
        <f>0.8*C18/100</f>
        <v>0.12</v>
      </c>
      <c r="I18" s="1">
        <f>0.2*C18/100</f>
        <v>0.03</v>
      </c>
      <c r="J18" s="1">
        <f t="shared" ref="J18" si="7">0*C18/100</f>
        <v>0</v>
      </c>
      <c r="K18" s="1">
        <f>115*C18/100</f>
        <v>17.25</v>
      </c>
      <c r="L18" s="1">
        <f>9.4*C18/100</f>
        <v>1.41</v>
      </c>
    </row>
    <row r="19" spans="1:12" x14ac:dyDescent="0.3">
      <c r="A19" s="1" t="s">
        <v>17</v>
      </c>
      <c r="B19" s="1" t="s">
        <v>24</v>
      </c>
      <c r="C19" s="1">
        <v>30</v>
      </c>
      <c r="D19" s="1">
        <f>7.9*C19/100</f>
        <v>2.37</v>
      </c>
      <c r="E19" s="1">
        <f>1*C19/100</f>
        <v>0.3</v>
      </c>
      <c r="F19" s="1">
        <f>48.3*C19/100</f>
        <v>14.49</v>
      </c>
      <c r="G19" s="1">
        <f>213.1*C19/100</f>
        <v>63.93</v>
      </c>
      <c r="H19" s="1">
        <f>0.2*C19/100</f>
        <v>0.06</v>
      </c>
      <c r="I19" s="1">
        <f>0*C19/100</f>
        <v>0</v>
      </c>
      <c r="J19" s="1">
        <f t="shared" ref="J19" si="8">0*C19/100</f>
        <v>0</v>
      </c>
      <c r="K19" s="1">
        <f>23*C19/100</f>
        <v>6.9</v>
      </c>
      <c r="L19" s="1">
        <f>1.9*C19/100</f>
        <v>0.56999999999999995</v>
      </c>
    </row>
    <row r="20" spans="1:12" x14ac:dyDescent="0.3">
      <c r="A20" s="1">
        <v>127</v>
      </c>
      <c r="B20" s="1" t="s">
        <v>26</v>
      </c>
      <c r="C20" s="1">
        <v>150</v>
      </c>
      <c r="D20" s="1">
        <f>0.3*C20/100</f>
        <v>0.45</v>
      </c>
      <c r="E20" s="1">
        <f>0.04*C20/100</f>
        <v>0.06</v>
      </c>
      <c r="F20" s="1">
        <f>8.71*C20/100</f>
        <v>13.065000000000003</v>
      </c>
      <c r="G20" s="1">
        <f>34.72*C20/100</f>
        <v>52.08</v>
      </c>
      <c r="H20" s="1">
        <f>0.003*C20/100</f>
        <v>4.5000000000000005E-3</v>
      </c>
      <c r="I20" s="1">
        <f>0.004*C20/100</f>
        <v>6.0000000000000001E-3</v>
      </c>
      <c r="J20" s="1">
        <f>20*C20/100</f>
        <v>30</v>
      </c>
      <c r="K20" s="1">
        <f>3.76*C20/100</f>
        <v>5.64</v>
      </c>
      <c r="L20" s="1">
        <f>0.15*C20/100</f>
        <v>0.22500000000000001</v>
      </c>
    </row>
    <row r="21" spans="1:12" x14ac:dyDescent="0.3">
      <c r="A21" s="1"/>
      <c r="B21" s="1"/>
      <c r="C21" s="3">
        <f>C15+C16+C17+C18+C19+C20</f>
        <v>450</v>
      </c>
      <c r="D21" s="3">
        <f>SUM(D15:D20)</f>
        <v>14.606999999999999</v>
      </c>
      <c r="E21" s="3">
        <f t="shared" ref="E21:L21" si="9">SUM(E15:E20)</f>
        <v>16.450499999999998</v>
      </c>
      <c r="F21" s="3">
        <f t="shared" si="9"/>
        <v>71.052000000000007</v>
      </c>
      <c r="G21" s="3">
        <f t="shared" si="9"/>
        <v>490.59750000000003</v>
      </c>
      <c r="H21" s="3">
        <f t="shared" si="9"/>
        <v>0.23249999999999998</v>
      </c>
      <c r="I21" s="3">
        <f t="shared" si="9"/>
        <v>6.9000000000000006E-2</v>
      </c>
      <c r="J21" s="3">
        <f t="shared" si="9"/>
        <v>39.612000000000002</v>
      </c>
      <c r="K21" s="3">
        <f t="shared" si="9"/>
        <v>101.20800000000001</v>
      </c>
      <c r="L21" s="3">
        <f t="shared" si="9"/>
        <v>3.3075000000000001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493</v>
      </c>
      <c r="B23" s="1" t="s">
        <v>51</v>
      </c>
      <c r="C23" s="1">
        <v>50</v>
      </c>
      <c r="D23" s="1">
        <f>4.37*C23/100</f>
        <v>2.1850000000000001</v>
      </c>
      <c r="E23" s="1">
        <f>9.5*C23/100</f>
        <v>4.75</v>
      </c>
      <c r="F23" s="1">
        <f>13.51*C23/100</f>
        <v>6.7549999999999999</v>
      </c>
      <c r="G23" s="1">
        <f>173*C23/100</f>
        <v>86.5</v>
      </c>
      <c r="H23" s="1">
        <f>0.09*C23/100</f>
        <v>4.4999999999999998E-2</v>
      </c>
      <c r="I23" s="1">
        <f>0.08*C23/100</f>
        <v>0.04</v>
      </c>
      <c r="J23" s="1">
        <f>0.01*C23/100</f>
        <v>5.0000000000000001E-3</v>
      </c>
      <c r="K23" s="1">
        <f>17.1*C23/100</f>
        <v>8.5500000000000007</v>
      </c>
      <c r="L23" s="1">
        <f>1.22*C23/100</f>
        <v>0.61</v>
      </c>
    </row>
    <row r="24" spans="1:12" x14ac:dyDescent="0.3">
      <c r="A24" s="1">
        <v>233</v>
      </c>
      <c r="B24" s="1" t="s">
        <v>36</v>
      </c>
      <c r="C24" s="1">
        <v>150</v>
      </c>
      <c r="D24" s="1">
        <f>1.36*C24/100</f>
        <v>2.0400000000000005</v>
      </c>
      <c r="E24" s="1">
        <f>0*C24/100</f>
        <v>0</v>
      </c>
      <c r="F24" s="1">
        <f>9.02*C24/100</f>
        <v>13.53</v>
      </c>
      <c r="G24" s="1">
        <f>35.89*C24/100</f>
        <v>53.835000000000001</v>
      </c>
      <c r="H24" s="1">
        <f>0.3*C24/100</f>
        <v>0.45</v>
      </c>
      <c r="I24" s="1">
        <f>0.3*C24/100</f>
        <v>0.45</v>
      </c>
      <c r="J24" s="1">
        <f>15*C24/100</f>
        <v>22.5</v>
      </c>
      <c r="K24" s="1">
        <f>4.5*C24/100</f>
        <v>6.75</v>
      </c>
      <c r="L24" s="1">
        <f>0*C24/100</f>
        <v>0</v>
      </c>
    </row>
    <row r="25" spans="1:12" x14ac:dyDescent="0.3">
      <c r="A25" s="1"/>
      <c r="B25" s="1"/>
      <c r="C25" s="3">
        <f>C23+C24</f>
        <v>200</v>
      </c>
      <c r="D25" s="3">
        <f>SUM(D23:D24)</f>
        <v>4.2250000000000005</v>
      </c>
      <c r="E25" s="3">
        <f t="shared" ref="E25:L25" si="10">SUM(E23:E24)</f>
        <v>4.75</v>
      </c>
      <c r="F25" s="3">
        <f t="shared" si="10"/>
        <v>20.285</v>
      </c>
      <c r="G25" s="3">
        <f t="shared" si="10"/>
        <v>140.33500000000001</v>
      </c>
      <c r="H25" s="3">
        <f t="shared" si="10"/>
        <v>0.495</v>
      </c>
      <c r="I25" s="3">
        <f t="shared" si="10"/>
        <v>0.49</v>
      </c>
      <c r="J25" s="3">
        <f t="shared" si="10"/>
        <v>22.504999999999999</v>
      </c>
      <c r="K25" s="3">
        <f t="shared" si="10"/>
        <v>15.3</v>
      </c>
      <c r="L25" s="3">
        <f t="shared" si="10"/>
        <v>0.61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17</v>
      </c>
      <c r="B27" s="1" t="s">
        <v>21</v>
      </c>
      <c r="C27" s="1">
        <v>20</v>
      </c>
      <c r="D27" s="1">
        <f>8.56*C27/100</f>
        <v>1.7120000000000002</v>
      </c>
      <c r="E27" s="1">
        <f>11.36*C27/100</f>
        <v>2.2719999999999998</v>
      </c>
      <c r="F27" s="1">
        <f>16.2*C27/100</f>
        <v>3.24</v>
      </c>
      <c r="G27" s="1">
        <f>166*C27/100</f>
        <v>33.200000000000003</v>
      </c>
      <c r="H27" s="1">
        <f>0.13*C27/100</f>
        <v>2.6000000000000002E-2</v>
      </c>
      <c r="I27" s="1">
        <f t="shared" ref="I27" si="11">0*C27/100</f>
        <v>0</v>
      </c>
      <c r="J27" s="1">
        <f t="shared" ref="J27" si="12">0*C27/100</f>
        <v>0</v>
      </c>
      <c r="K27" s="1">
        <f>20*C27/100</f>
        <v>4</v>
      </c>
      <c r="L27" s="1">
        <f>1.53*C27/100</f>
        <v>0.30599999999999999</v>
      </c>
    </row>
    <row r="28" spans="1:12" x14ac:dyDescent="0.3">
      <c r="A28" s="1">
        <v>134</v>
      </c>
      <c r="B28" s="1" t="s">
        <v>20</v>
      </c>
      <c r="C28" s="1">
        <v>80</v>
      </c>
      <c r="D28" s="1">
        <f>0.5*C28/100</f>
        <v>0.4</v>
      </c>
      <c r="E28" s="1">
        <f>0.1*C28/100</f>
        <v>0.08</v>
      </c>
      <c r="F28" s="1">
        <f>8.64*C28/100</f>
        <v>6.9120000000000008</v>
      </c>
      <c r="G28" s="1">
        <f>46*C28/100</f>
        <v>36.799999999999997</v>
      </c>
      <c r="H28" s="1">
        <f>0.01*C28/100</f>
        <v>8.0000000000000002E-3</v>
      </c>
      <c r="I28" s="1">
        <f>0.01*C28/100</f>
        <v>8.0000000000000002E-3</v>
      </c>
      <c r="J28" s="1">
        <f>2*C28/100</f>
        <v>1.6</v>
      </c>
      <c r="K28" s="1">
        <f>7*C28/100</f>
        <v>5.6</v>
      </c>
      <c r="L28" s="1">
        <f>1.4*C28/100</f>
        <v>1.1200000000000001</v>
      </c>
    </row>
    <row r="29" spans="1:12" x14ac:dyDescent="0.3">
      <c r="A29" s="1"/>
      <c r="B29" s="1"/>
      <c r="C29" s="3">
        <f>C27+C28</f>
        <v>100</v>
      </c>
      <c r="D29" s="3">
        <f>SUM(D27:D28)</f>
        <v>2.1120000000000001</v>
      </c>
      <c r="E29" s="3">
        <f t="shared" ref="E29:L29" si="13">SUM(E27:E28)</f>
        <v>2.3519999999999999</v>
      </c>
      <c r="F29" s="3">
        <f t="shared" si="13"/>
        <v>10.152000000000001</v>
      </c>
      <c r="G29" s="3">
        <f t="shared" si="13"/>
        <v>70</v>
      </c>
      <c r="H29" s="3">
        <f t="shared" si="13"/>
        <v>3.4000000000000002E-2</v>
      </c>
      <c r="I29" s="3">
        <f t="shared" si="13"/>
        <v>8.0000000000000002E-3</v>
      </c>
      <c r="J29" s="3">
        <f t="shared" si="13"/>
        <v>1.6</v>
      </c>
      <c r="K29" s="3">
        <f t="shared" si="13"/>
        <v>9.6</v>
      </c>
      <c r="L29" s="3">
        <f t="shared" si="13"/>
        <v>1.4260000000000002</v>
      </c>
    </row>
    <row r="30" spans="1:12" x14ac:dyDescent="0.3">
      <c r="A30" s="1"/>
      <c r="B30" s="3" t="s">
        <v>30</v>
      </c>
      <c r="C30" s="3"/>
      <c r="D30" s="3">
        <f>D9+D13+D21+D25+D29</f>
        <v>31.561999999999998</v>
      </c>
      <c r="E30" s="3">
        <f t="shared" ref="E30:L30" si="14">E9+E13+E21+E25+E29</f>
        <v>35.318499999999993</v>
      </c>
      <c r="F30" s="3">
        <f t="shared" si="14"/>
        <v>152.28700000000003</v>
      </c>
      <c r="G30" s="3">
        <f t="shared" si="14"/>
        <v>1050.9125000000001</v>
      </c>
      <c r="H30" s="3">
        <f t="shared" si="14"/>
        <v>1.2595000000000001</v>
      </c>
      <c r="I30" s="3">
        <f t="shared" si="14"/>
        <v>0.81600000000000006</v>
      </c>
      <c r="J30" s="3">
        <f t="shared" si="14"/>
        <v>65.516999999999996</v>
      </c>
      <c r="K30" s="3">
        <f t="shared" si="14"/>
        <v>193.69200000000004</v>
      </c>
      <c r="L30" s="3">
        <f t="shared" si="14"/>
        <v>14.654500000000001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4" workbookViewId="0">
      <selection activeCell="G32" sqref="G32"/>
    </sheetView>
  </sheetViews>
  <sheetFormatPr defaultRowHeight="14.4" x14ac:dyDescent="0.3"/>
  <cols>
    <col min="1" max="1" width="4.109375" customWidth="1"/>
    <col min="2" max="2" width="25" customWidth="1"/>
    <col min="3" max="3" width="6.66406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58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309</v>
      </c>
      <c r="B5" s="1" t="s">
        <v>14</v>
      </c>
      <c r="C5" s="1">
        <v>150</v>
      </c>
      <c r="D5" s="1">
        <f>2.27*C5/100</f>
        <v>3.4049999999999998</v>
      </c>
      <c r="E5" s="1">
        <f>0.22*C5/100</f>
        <v>0.33</v>
      </c>
      <c r="F5" s="1">
        <f>0.07*C5/100</f>
        <v>0.10500000000000002</v>
      </c>
      <c r="G5" s="1">
        <f>72.09*C5/100</f>
        <v>108.13500000000001</v>
      </c>
      <c r="H5" s="1">
        <f>0.023*C5/100</f>
        <v>3.4499999999999996E-2</v>
      </c>
      <c r="I5" s="1">
        <f>0.01*C5/100</f>
        <v>1.4999999999999999E-2</v>
      </c>
      <c r="J5" s="1">
        <f>0*C5/100</f>
        <v>0</v>
      </c>
      <c r="K5" s="1">
        <f>4.4*C5/100</f>
        <v>6.6</v>
      </c>
      <c r="L5" s="1">
        <f>0.22*C5/100</f>
        <v>0.33</v>
      </c>
    </row>
    <row r="6" spans="1:12" x14ac:dyDescent="0.3">
      <c r="A6" s="1">
        <v>1</v>
      </c>
      <c r="B6" s="1" t="s">
        <v>15</v>
      </c>
      <c r="C6" s="1">
        <v>30</v>
      </c>
      <c r="D6" s="1">
        <f>8.22*C6/100</f>
        <v>2.4660000000000002</v>
      </c>
      <c r="E6" s="1">
        <f>19.88*C6/100</f>
        <v>5.9639999999999995</v>
      </c>
      <c r="F6" s="1">
        <f>36.55*C6/100</f>
        <v>10.965</v>
      </c>
      <c r="G6" s="1">
        <f>340*C6/100</f>
        <v>102</v>
      </c>
      <c r="H6" s="1">
        <f>0.12*C6/100</f>
        <v>3.5999999999999997E-2</v>
      </c>
      <c r="I6" s="1">
        <f>0.08*C6/100</f>
        <v>2.4E-2</v>
      </c>
      <c r="J6" s="1">
        <f t="shared" ref="J6" si="0">0*C6/100</f>
        <v>0</v>
      </c>
      <c r="K6" s="1">
        <f>23.25*C6/100</f>
        <v>6.9749999999999996</v>
      </c>
      <c r="L6" s="1">
        <f>1.55*C6/100</f>
        <v>0.46500000000000002</v>
      </c>
    </row>
    <row r="7" spans="1:12" x14ac:dyDescent="0.3">
      <c r="A7" s="1">
        <v>138</v>
      </c>
      <c r="B7" s="1" t="s">
        <v>16</v>
      </c>
      <c r="C7" s="1">
        <v>170</v>
      </c>
      <c r="D7" s="1">
        <f>1.46*C7/100</f>
        <v>2.4819999999999998</v>
      </c>
      <c r="E7" s="1">
        <f>1.86*C7/100</f>
        <v>3.1619999999999999</v>
      </c>
      <c r="F7" s="1">
        <f>17.39*C7/100</f>
        <v>29.563000000000002</v>
      </c>
      <c r="G7" s="1">
        <f>40.94*C7/100</f>
        <v>69.597999999999999</v>
      </c>
      <c r="H7" s="1">
        <f>0.01*C7/100</f>
        <v>1.7000000000000001E-2</v>
      </c>
      <c r="I7" s="1">
        <f>0.07*C7/100</f>
        <v>0.11900000000000001</v>
      </c>
      <c r="J7" s="1">
        <f>0.33*C7/100</f>
        <v>0.56100000000000005</v>
      </c>
      <c r="K7" s="1">
        <f>64.05*C7/100</f>
        <v>108.88500000000001</v>
      </c>
      <c r="L7" s="1">
        <f>0.32*C7/100</f>
        <v>0.54400000000000004</v>
      </c>
    </row>
    <row r="8" spans="1:12" ht="15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1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>C5+C6+C7</f>
        <v>350</v>
      </c>
      <c r="D9" s="3">
        <f>SUM(D5:D8)</f>
        <v>8.3529999999999998</v>
      </c>
      <c r="E9" s="3">
        <f t="shared" ref="E9:L9" si="2">SUM(E5:E8)</f>
        <v>9.4559999999999995</v>
      </c>
      <c r="F9" s="3">
        <f t="shared" si="2"/>
        <v>40.633000000000003</v>
      </c>
      <c r="G9" s="3">
        <f t="shared" si="2"/>
        <v>279.733</v>
      </c>
      <c r="H9" s="3">
        <f t="shared" si="2"/>
        <v>8.7499999999999994E-2</v>
      </c>
      <c r="I9" s="3">
        <f t="shared" si="2"/>
        <v>0.158</v>
      </c>
      <c r="J9" s="3">
        <f t="shared" si="2"/>
        <v>0.56100000000000005</v>
      </c>
      <c r="K9" s="3">
        <f t="shared" si="2"/>
        <v>122.46000000000001</v>
      </c>
      <c r="L9" s="3">
        <f t="shared" si="2"/>
        <v>1.339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90</v>
      </c>
      <c r="D11" s="1">
        <f>0.5*C11/100</f>
        <v>0.45</v>
      </c>
      <c r="E11" s="1">
        <f>0.1*C11/100</f>
        <v>0.09</v>
      </c>
      <c r="F11" s="1">
        <f>7.99*C11/100</f>
        <v>7.1909999999999998</v>
      </c>
      <c r="G11" s="1">
        <f>46*C11/100</f>
        <v>41.4</v>
      </c>
      <c r="H11" s="1">
        <f>0.01*C11/100</f>
        <v>9.0000000000000011E-3</v>
      </c>
      <c r="I11" s="1">
        <f>0.01*C11/100</f>
        <v>9.0000000000000011E-3</v>
      </c>
      <c r="J11" s="1">
        <f>2*C11/100</f>
        <v>1.8</v>
      </c>
      <c r="K11" s="1">
        <f>7*C11/100</f>
        <v>6.3</v>
      </c>
      <c r="L11" s="1">
        <f>1.4*C11/100</f>
        <v>1.2599999999999998</v>
      </c>
    </row>
    <row r="12" spans="1:12" x14ac:dyDescent="0.3">
      <c r="A12" s="1">
        <v>17</v>
      </c>
      <c r="B12" s="1" t="s">
        <v>82</v>
      </c>
      <c r="C12" s="1">
        <v>40</v>
      </c>
      <c r="D12" s="1">
        <f>4.24*C12/100</f>
        <v>1.6960000000000002</v>
      </c>
      <c r="E12" s="1">
        <f>5.65*C12/100</f>
        <v>2.2599999999999998</v>
      </c>
      <c r="F12" s="1">
        <f>7.4*C12/100</f>
        <v>2.96</v>
      </c>
      <c r="G12" s="1">
        <f>72.97*C12/100</f>
        <v>29.188000000000002</v>
      </c>
      <c r="H12" s="1">
        <f>0.01*C12/100</f>
        <v>4.0000000000000001E-3</v>
      </c>
      <c r="I12" s="1">
        <f>0.03*C12/100</f>
        <v>1.2E-2</v>
      </c>
      <c r="J12" s="1">
        <f>9.36*C12/100</f>
        <v>3.7439999999999998</v>
      </c>
      <c r="K12" s="1">
        <f>15.2*C12/100</f>
        <v>6.08</v>
      </c>
      <c r="L12" s="1">
        <f>0.72*C12/100</f>
        <v>0.28799999999999998</v>
      </c>
    </row>
    <row r="13" spans="1:12" x14ac:dyDescent="0.3">
      <c r="A13" s="1"/>
      <c r="B13" s="1"/>
      <c r="C13" s="3">
        <f>C11+C12</f>
        <v>130</v>
      </c>
      <c r="D13" s="3">
        <f>SUM(D11:D12)</f>
        <v>2.1460000000000004</v>
      </c>
      <c r="E13" s="3">
        <f t="shared" ref="E13:L13" si="3">SUM(E11:E12)</f>
        <v>2.3499999999999996</v>
      </c>
      <c r="F13" s="3">
        <f>SUM(F11:F12)</f>
        <v>10.151</v>
      </c>
      <c r="G13" s="3">
        <f t="shared" si="3"/>
        <v>70.587999999999994</v>
      </c>
      <c r="H13" s="3">
        <f t="shared" si="3"/>
        <v>1.3000000000000001E-2</v>
      </c>
      <c r="I13" s="3">
        <f t="shared" si="3"/>
        <v>2.1000000000000001E-2</v>
      </c>
      <c r="J13" s="3">
        <f t="shared" si="3"/>
        <v>5.5439999999999996</v>
      </c>
      <c r="K13" s="3">
        <f t="shared" si="3"/>
        <v>12.379999999999999</v>
      </c>
      <c r="L13" s="3">
        <f t="shared" si="3"/>
        <v>1.5479999999999998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66</v>
      </c>
      <c r="B15" s="1" t="s">
        <v>52</v>
      </c>
      <c r="C15" s="1">
        <v>150</v>
      </c>
      <c r="D15" s="1">
        <f>1.13*C15/100</f>
        <v>1.6949999999999996</v>
      </c>
      <c r="E15" s="1">
        <f>1.73*C15/100</f>
        <v>2.5950000000000002</v>
      </c>
      <c r="F15" s="1">
        <f>18.27*C15/100</f>
        <v>27.405000000000001</v>
      </c>
      <c r="G15" s="1">
        <f>81.33*C15/100</f>
        <v>121.995</v>
      </c>
      <c r="H15" s="1">
        <f>0.01*C15/100</f>
        <v>1.4999999999999999E-2</v>
      </c>
      <c r="I15" s="1">
        <f>0.01*C15/100</f>
        <v>1.4999999999999999E-2</v>
      </c>
      <c r="J15" s="1">
        <f>0.24*C15/100</f>
        <v>0.36</v>
      </c>
      <c r="K15" s="1">
        <f>5.05*C15/100</f>
        <v>7.5750000000000002</v>
      </c>
      <c r="L15" s="1">
        <f>0.18*C15/100</f>
        <v>0.27</v>
      </c>
    </row>
    <row r="16" spans="1:12" x14ac:dyDescent="0.3">
      <c r="A16" s="1">
        <v>101</v>
      </c>
      <c r="B16" s="1" t="s">
        <v>53</v>
      </c>
      <c r="C16" s="1">
        <v>60</v>
      </c>
      <c r="D16" s="1">
        <f>11.85*C16/100</f>
        <v>7.11</v>
      </c>
      <c r="E16" s="1">
        <f>7.51*C16/100</f>
        <v>4.5059999999999993</v>
      </c>
      <c r="F16" s="1">
        <f>5.44*C16/100</f>
        <v>3.2640000000000002</v>
      </c>
      <c r="G16" s="1">
        <f>165.05*C16/100</f>
        <v>99.03</v>
      </c>
      <c r="H16" s="1">
        <f>0.06*C16/100</f>
        <v>3.5999999999999997E-2</v>
      </c>
      <c r="I16" s="1">
        <f>0.12*C16/100</f>
        <v>7.1999999999999995E-2</v>
      </c>
      <c r="J16" s="1">
        <f>0*C16/100</f>
        <v>0</v>
      </c>
      <c r="K16" s="1">
        <f>13.6*C16/100</f>
        <v>8.16</v>
      </c>
      <c r="L16" s="1">
        <f>1.02*C16/100</f>
        <v>0.61199999999999999</v>
      </c>
    </row>
    <row r="17" spans="1:12" x14ac:dyDescent="0.3">
      <c r="A17" s="1">
        <v>205</v>
      </c>
      <c r="B17" s="1" t="s">
        <v>54</v>
      </c>
      <c r="C17" s="1">
        <v>70</v>
      </c>
      <c r="D17" s="1">
        <f>3.86*C17/100</f>
        <v>2.702</v>
      </c>
      <c r="E17" s="1">
        <f>9.81*C17/100</f>
        <v>6.8670000000000009</v>
      </c>
      <c r="F17" s="1">
        <f>17.08*C17/100</f>
        <v>11.956</v>
      </c>
      <c r="G17" s="1">
        <f>178.32*C17/100</f>
        <v>124.824</v>
      </c>
      <c r="H17" s="1">
        <f>0.04*C17/100</f>
        <v>2.8000000000000004E-2</v>
      </c>
      <c r="I17" s="1">
        <f>0.02*C17/100</f>
        <v>1.4000000000000002E-2</v>
      </c>
      <c r="J17" s="1">
        <f>0*C17/100</f>
        <v>0</v>
      </c>
      <c r="K17" s="1">
        <f>3.23*C17/100</f>
        <v>2.2610000000000001</v>
      </c>
      <c r="L17" s="1">
        <f>0.74*C17/100</f>
        <v>0.51800000000000002</v>
      </c>
    </row>
    <row r="18" spans="1:12" ht="21.6" x14ac:dyDescent="0.3">
      <c r="A18" s="1">
        <v>47</v>
      </c>
      <c r="B18" s="2" t="s">
        <v>55</v>
      </c>
      <c r="C18" s="1">
        <v>40</v>
      </c>
      <c r="D18" s="1">
        <f>1.99*C18/100</f>
        <v>0.79599999999999993</v>
      </c>
      <c r="E18" s="1">
        <f>5.54*C18/100</f>
        <v>2.2159999999999997</v>
      </c>
      <c r="F18" s="1">
        <f>11.32*C18/100</f>
        <v>4.5280000000000005</v>
      </c>
      <c r="G18" s="1">
        <f>101.2*C18/100</f>
        <v>40.479999999999997</v>
      </c>
      <c r="H18" s="1">
        <f>0.08*C18/100</f>
        <v>3.2000000000000001E-2</v>
      </c>
      <c r="I18" s="1">
        <f>0.05*C18/100</f>
        <v>0.02</v>
      </c>
      <c r="J18" s="1">
        <f>26.03*C18/100</f>
        <v>10.412000000000001</v>
      </c>
      <c r="K18" s="1">
        <f>36.59*C18/100</f>
        <v>14.636000000000001</v>
      </c>
      <c r="L18" s="1">
        <f>0.89*C18/100</f>
        <v>0.35600000000000004</v>
      </c>
    </row>
    <row r="19" spans="1:12" x14ac:dyDescent="0.3">
      <c r="A19" s="1" t="s">
        <v>17</v>
      </c>
      <c r="B19" s="1" t="s">
        <v>24</v>
      </c>
      <c r="C19" s="1">
        <v>30</v>
      </c>
      <c r="D19" s="1">
        <f>7.9*C19/100</f>
        <v>2.37</v>
      </c>
      <c r="E19" s="1">
        <f>1*C19/100</f>
        <v>0.3</v>
      </c>
      <c r="F19" s="1">
        <f>48.3*C19/100</f>
        <v>14.49</v>
      </c>
      <c r="G19" s="1">
        <f>213.6*C19/100</f>
        <v>64.08</v>
      </c>
      <c r="H19" s="1">
        <f>0.2*C19/100</f>
        <v>0.06</v>
      </c>
      <c r="I19" s="1">
        <f>0*C19/100</f>
        <v>0</v>
      </c>
      <c r="J19" s="1">
        <f t="shared" ref="J19" si="4">0*C19/100</f>
        <v>0</v>
      </c>
      <c r="K19" s="1">
        <f>23*C19/100</f>
        <v>6.9</v>
      </c>
      <c r="L19" s="1">
        <f>1.9*C19/100</f>
        <v>0.56999999999999995</v>
      </c>
    </row>
    <row r="20" spans="1:12" x14ac:dyDescent="0.3">
      <c r="A20" s="1">
        <v>122</v>
      </c>
      <c r="B20" s="1" t="s">
        <v>36</v>
      </c>
      <c r="C20" s="1">
        <v>100</v>
      </c>
      <c r="D20" s="1">
        <f>0*C20/100</f>
        <v>0</v>
      </c>
      <c r="E20" s="1">
        <f>0*C20/100</f>
        <v>0</v>
      </c>
      <c r="F20" s="1">
        <f>9.8*C20/100</f>
        <v>9.8000000000000007</v>
      </c>
      <c r="G20" s="1">
        <f>40*C20/100</f>
        <v>40</v>
      </c>
      <c r="H20" s="1">
        <f>0.3*C20/100</f>
        <v>0.3</v>
      </c>
      <c r="I20" s="1">
        <f>0.3*C20/100</f>
        <v>0.3</v>
      </c>
      <c r="J20" s="1">
        <f>15*C20/100</f>
        <v>15</v>
      </c>
      <c r="K20" s="1">
        <f>4.5*C20/100</f>
        <v>4.5</v>
      </c>
      <c r="L20" s="1">
        <f>0*C20/100</f>
        <v>0</v>
      </c>
    </row>
    <row r="21" spans="1:12" x14ac:dyDescent="0.3">
      <c r="A21" s="1"/>
      <c r="B21" s="1"/>
      <c r="C21" s="3">
        <f>C15+C16+C17+C18+C19+C20</f>
        <v>450</v>
      </c>
      <c r="D21" s="3">
        <f>SUM(D15:D20)</f>
        <v>14.672999999999998</v>
      </c>
      <c r="E21" s="3">
        <f t="shared" ref="E21:L21" si="5">SUM(E15:E20)</f>
        <v>16.484000000000002</v>
      </c>
      <c r="F21" s="3">
        <f t="shared" si="5"/>
        <v>71.442999999999998</v>
      </c>
      <c r="G21" s="3">
        <f t="shared" si="5"/>
        <v>490.40899999999999</v>
      </c>
      <c r="H21" s="3">
        <f t="shared" si="5"/>
        <v>0.47099999999999997</v>
      </c>
      <c r="I21" s="3">
        <f t="shared" si="5"/>
        <v>0.42099999999999999</v>
      </c>
      <c r="J21" s="3">
        <f t="shared" si="5"/>
        <v>25.771999999999998</v>
      </c>
      <c r="K21" s="3">
        <f t="shared" si="5"/>
        <v>44.031999999999996</v>
      </c>
      <c r="L21" s="3">
        <f t="shared" si="5"/>
        <v>2.3260000000000001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449</v>
      </c>
      <c r="B23" s="1" t="s">
        <v>56</v>
      </c>
      <c r="C23" s="1">
        <v>60</v>
      </c>
      <c r="D23" s="1">
        <f>3.45*C23/100</f>
        <v>2.0699999999999998</v>
      </c>
      <c r="E23" s="1">
        <f>4.28*C23/100</f>
        <v>2.5680000000000001</v>
      </c>
      <c r="F23" s="1">
        <f>14.08*C23/100</f>
        <v>8.4480000000000004</v>
      </c>
      <c r="G23" s="1">
        <f>154.54*C23/100</f>
        <v>92.72399999999999</v>
      </c>
      <c r="H23" s="1">
        <f>0.14*C23/100</f>
        <v>8.4000000000000005E-2</v>
      </c>
      <c r="I23" s="1">
        <f>0.14*C23/100</f>
        <v>8.4000000000000005E-2</v>
      </c>
      <c r="J23" s="1">
        <f>0.34*C23/100</f>
        <v>0.20400000000000001</v>
      </c>
      <c r="K23" s="1">
        <f>79.38*C23/100</f>
        <v>47.627999999999993</v>
      </c>
      <c r="L23" s="1">
        <f>1.22*C23/100</f>
        <v>0.73199999999999998</v>
      </c>
    </row>
    <row r="24" spans="1:12" x14ac:dyDescent="0.3">
      <c r="A24" s="1">
        <v>138</v>
      </c>
      <c r="B24" s="1" t="s">
        <v>16</v>
      </c>
      <c r="C24" s="1">
        <v>140</v>
      </c>
      <c r="D24" s="1">
        <f>1.56*C24/100</f>
        <v>2.1840000000000002</v>
      </c>
      <c r="E24" s="1">
        <f>1.52*C24/100</f>
        <v>2.1280000000000001</v>
      </c>
      <c r="F24" s="1">
        <f>8.45*C24/100</f>
        <v>11.83</v>
      </c>
      <c r="G24" s="1">
        <f>34.04*C24/100</f>
        <v>47.655999999999992</v>
      </c>
      <c r="H24" s="1">
        <f>0.01*C24/100</f>
        <v>1.4000000000000002E-2</v>
      </c>
      <c r="I24" s="1">
        <f>0.07*C24/100</f>
        <v>9.8000000000000004E-2</v>
      </c>
      <c r="J24" s="1">
        <f>0.33*C24/100</f>
        <v>0.46200000000000002</v>
      </c>
      <c r="K24" s="1">
        <f>64.05*C24/100</f>
        <v>89.67</v>
      </c>
      <c r="L24" s="1">
        <f>0.32*C24/100</f>
        <v>0.44800000000000006</v>
      </c>
    </row>
    <row r="25" spans="1:12" x14ac:dyDescent="0.3">
      <c r="A25" s="1"/>
      <c r="B25" s="1"/>
      <c r="C25" s="3">
        <f>C23+C24</f>
        <v>200</v>
      </c>
      <c r="D25" s="3">
        <f>SUM(D23:D24)</f>
        <v>4.2539999999999996</v>
      </c>
      <c r="E25" s="3">
        <f t="shared" ref="E25:L25" si="6">SUM(E23:E24)</f>
        <v>4.6959999999999997</v>
      </c>
      <c r="F25" s="3">
        <f t="shared" si="6"/>
        <v>20.277999999999999</v>
      </c>
      <c r="G25" s="3">
        <f t="shared" si="6"/>
        <v>140.38</v>
      </c>
      <c r="H25" s="3">
        <f t="shared" si="6"/>
        <v>9.8000000000000004E-2</v>
      </c>
      <c r="I25" s="3">
        <f t="shared" si="6"/>
        <v>0.182</v>
      </c>
      <c r="J25" s="3">
        <f t="shared" si="6"/>
        <v>0.66600000000000004</v>
      </c>
      <c r="K25" s="3">
        <f t="shared" si="6"/>
        <v>137.298</v>
      </c>
      <c r="L25" s="3">
        <f t="shared" si="6"/>
        <v>1.1800000000000002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17</v>
      </c>
      <c r="B27" s="1" t="s">
        <v>21</v>
      </c>
      <c r="C27" s="1">
        <v>10</v>
      </c>
      <c r="D27" s="1">
        <f>17*C27/100</f>
        <v>1.7</v>
      </c>
      <c r="E27" s="1">
        <f>23.5*C27/100</f>
        <v>2.35</v>
      </c>
      <c r="F27" s="1">
        <f>26.2*C27/100</f>
        <v>2.62</v>
      </c>
      <c r="G27" s="1">
        <f>389*C27/100</f>
        <v>38.9</v>
      </c>
      <c r="H27" s="1">
        <f>0.13*C27/100</f>
        <v>1.3000000000000001E-2</v>
      </c>
      <c r="I27" s="1">
        <f t="shared" ref="I27" si="7">0*C27/100</f>
        <v>0</v>
      </c>
      <c r="J27" s="1">
        <f t="shared" ref="J27" si="8">0*C27/100</f>
        <v>0</v>
      </c>
      <c r="K27" s="1">
        <f>20*C27/100</f>
        <v>2</v>
      </c>
      <c r="L27" s="1">
        <f>1.53*C27/100</f>
        <v>0.153</v>
      </c>
    </row>
    <row r="28" spans="1:12" x14ac:dyDescent="0.3">
      <c r="A28" s="1" t="s">
        <v>17</v>
      </c>
      <c r="B28" s="1" t="s">
        <v>57</v>
      </c>
      <c r="C28" s="1">
        <v>90</v>
      </c>
      <c r="D28" s="1">
        <f>0.5*C28/100</f>
        <v>0.45</v>
      </c>
      <c r="E28" s="1">
        <f>0*C28/100</f>
        <v>0</v>
      </c>
      <c r="F28" s="1">
        <f>8.37*C28/100</f>
        <v>7.5329999999999995</v>
      </c>
      <c r="G28" s="1">
        <f>35*C28/100</f>
        <v>31.5</v>
      </c>
      <c r="H28" s="1">
        <f>0.02*C28/100</f>
        <v>1.8000000000000002E-2</v>
      </c>
      <c r="I28" s="1">
        <f>0.04*C28/100</f>
        <v>3.6000000000000004E-2</v>
      </c>
      <c r="J28" s="1">
        <f>4*C28/100</f>
        <v>3.6</v>
      </c>
      <c r="K28" s="1">
        <f>12*C28/100</f>
        <v>10.8</v>
      </c>
      <c r="L28" s="1">
        <f>0.7*C28/100</f>
        <v>0.62999999999999989</v>
      </c>
    </row>
    <row r="29" spans="1:12" x14ac:dyDescent="0.3">
      <c r="A29" s="1"/>
      <c r="B29" s="1"/>
      <c r="C29" s="3">
        <f>C27+C28</f>
        <v>100</v>
      </c>
      <c r="D29" s="3">
        <f>SUM(D27:D28)</f>
        <v>2.15</v>
      </c>
      <c r="E29" s="3">
        <f t="shared" ref="E29:L29" si="9">SUM(E27:E28)</f>
        <v>2.35</v>
      </c>
      <c r="F29" s="3">
        <f t="shared" si="9"/>
        <v>10.152999999999999</v>
      </c>
      <c r="G29" s="3">
        <f t="shared" si="9"/>
        <v>70.400000000000006</v>
      </c>
      <c r="H29" s="3">
        <f t="shared" si="9"/>
        <v>3.1000000000000003E-2</v>
      </c>
      <c r="I29" s="3">
        <f t="shared" si="9"/>
        <v>3.6000000000000004E-2</v>
      </c>
      <c r="J29" s="3">
        <f t="shared" si="9"/>
        <v>3.6</v>
      </c>
      <c r="K29" s="3">
        <f t="shared" si="9"/>
        <v>12.8</v>
      </c>
      <c r="L29" s="3">
        <f t="shared" si="9"/>
        <v>0.78299999999999992</v>
      </c>
    </row>
    <row r="30" spans="1:12" x14ac:dyDescent="0.3">
      <c r="A30" s="1"/>
      <c r="B30" s="3" t="s">
        <v>30</v>
      </c>
      <c r="C30" s="3"/>
      <c r="D30" s="3">
        <f>D9+D13+D21+D25+D29</f>
        <v>31.575999999999993</v>
      </c>
      <c r="E30" s="3">
        <f t="shared" ref="E30:L30" si="10">E9+E13+E21+E25+E29</f>
        <v>35.335999999999999</v>
      </c>
      <c r="F30" s="3">
        <f t="shared" si="10"/>
        <v>152.65799999999999</v>
      </c>
      <c r="G30" s="3">
        <f t="shared" si="10"/>
        <v>1051.51</v>
      </c>
      <c r="H30" s="3">
        <f t="shared" si="10"/>
        <v>0.70050000000000001</v>
      </c>
      <c r="I30" s="3">
        <f t="shared" si="10"/>
        <v>0.81800000000000006</v>
      </c>
      <c r="J30" s="3">
        <f t="shared" si="10"/>
        <v>36.143000000000001</v>
      </c>
      <c r="K30" s="3">
        <f t="shared" si="10"/>
        <v>328.97</v>
      </c>
      <c r="L30" s="3">
        <f t="shared" si="10"/>
        <v>7.1759999999999984</v>
      </c>
    </row>
    <row r="33" spans="2:2" x14ac:dyDescent="0.3">
      <c r="B33" t="s">
        <v>76</v>
      </c>
    </row>
  </sheetData>
  <pageMargins left="0.7" right="0.7" top="0.75" bottom="0.75" header="0.3" footer="0.3"/>
  <pageSetup paperSize="9" orientation="landscape" r:id="rId1"/>
  <ignoredErrors>
    <ignoredError sqref="I1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N22" sqref="N22"/>
    </sheetView>
  </sheetViews>
  <sheetFormatPr defaultRowHeight="14.4" x14ac:dyDescent="0.3"/>
  <cols>
    <col min="1" max="1" width="4.109375" customWidth="1"/>
    <col min="2" max="2" width="22.6640625" customWidth="1"/>
    <col min="3" max="3" width="4.664062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219</v>
      </c>
      <c r="B5" s="1" t="s">
        <v>59</v>
      </c>
      <c r="C5" s="1">
        <v>100</v>
      </c>
      <c r="D5" s="1">
        <f>3.63*C5/100</f>
        <v>3.63</v>
      </c>
      <c r="E5" s="1">
        <f>3.92*C5/100</f>
        <v>3.92</v>
      </c>
      <c r="F5" s="1">
        <f>5.83*C5/100</f>
        <v>5.83</v>
      </c>
      <c r="G5" s="1">
        <f>106.78*C5/100</f>
        <v>106.78</v>
      </c>
      <c r="H5" s="1">
        <f>0.06*C5/100</f>
        <v>0.06</v>
      </c>
      <c r="I5" s="1">
        <f>0.28*C5/100</f>
        <v>0.28000000000000003</v>
      </c>
      <c r="J5" s="1">
        <f>0.77*C5/100</f>
        <v>0.77</v>
      </c>
      <c r="K5" s="1">
        <f>74*C5/100</f>
        <v>74</v>
      </c>
      <c r="L5" s="1">
        <f>1.38*C5/100</f>
        <v>1.38</v>
      </c>
    </row>
    <row r="6" spans="1:12" x14ac:dyDescent="0.3">
      <c r="A6" s="1">
        <v>6</v>
      </c>
      <c r="B6" s="1" t="s">
        <v>41</v>
      </c>
      <c r="C6" s="1">
        <v>50</v>
      </c>
      <c r="D6" s="1">
        <f>4.08*C6/100</f>
        <v>2.04</v>
      </c>
      <c r="E6" s="1">
        <f>4.94*C6/100</f>
        <v>2.4700000000000002</v>
      </c>
      <c r="F6" s="1">
        <f>34.11*C6/100</f>
        <v>17.055</v>
      </c>
      <c r="G6" s="1">
        <f>121*C6/100</f>
        <v>60.5</v>
      </c>
      <c r="H6" s="1">
        <f>0.17*C6/100</f>
        <v>8.5000000000000006E-2</v>
      </c>
      <c r="I6" s="1">
        <f>0.44*C6/100</f>
        <v>0.22</v>
      </c>
      <c r="J6" s="1">
        <f>0.33*C6/100</f>
        <v>0.16500000000000001</v>
      </c>
      <c r="K6" s="1">
        <f>215.99*C6/100</f>
        <v>107.995</v>
      </c>
      <c r="L6" s="1">
        <f>1.74*C6/100</f>
        <v>0.87</v>
      </c>
    </row>
    <row r="7" spans="1:12" x14ac:dyDescent="0.3">
      <c r="A7" s="1">
        <v>138</v>
      </c>
      <c r="B7" s="1" t="s">
        <v>16</v>
      </c>
      <c r="C7" s="1">
        <v>200</v>
      </c>
      <c r="D7" s="1">
        <f>1.36*C7/100</f>
        <v>2.72</v>
      </c>
      <c r="E7" s="1">
        <f>1.52*C7/100</f>
        <v>3.04</v>
      </c>
      <c r="F7" s="1">
        <f>8.85*C7/100</f>
        <v>17.7</v>
      </c>
      <c r="G7" s="1">
        <f>56.34*C7/100</f>
        <v>112.68</v>
      </c>
      <c r="H7" s="1">
        <f>0.01*C7/100</f>
        <v>0.02</v>
      </c>
      <c r="I7" s="1">
        <f>0.07*C7/100</f>
        <v>0.14000000000000001</v>
      </c>
      <c r="J7" s="1">
        <f>0.33*C7/100</f>
        <v>0.66</v>
      </c>
      <c r="K7" s="1">
        <f>64.05*C7/100</f>
        <v>128.1</v>
      </c>
      <c r="L7" s="1">
        <f>0.32*C7/100</f>
        <v>0.64</v>
      </c>
    </row>
    <row r="8" spans="1:12" ht="15" x14ac:dyDescent="0.25">
      <c r="A8" s="1"/>
      <c r="B8" s="1"/>
      <c r="C8" s="1"/>
      <c r="D8" s="1">
        <f>6.12*C8/100</f>
        <v>0</v>
      </c>
      <c r="E8" s="1">
        <f>18.88*C8/100</f>
        <v>0</v>
      </c>
      <c r="F8" s="1">
        <f>36.55*C8/100</f>
        <v>0</v>
      </c>
      <c r="G8" s="1">
        <f>340*C8/100</f>
        <v>0</v>
      </c>
      <c r="H8" s="1">
        <f>0.12*C8/100</f>
        <v>0</v>
      </c>
      <c r="I8" s="1">
        <f>0.08*C8/100</f>
        <v>0</v>
      </c>
      <c r="J8" s="1">
        <f t="shared" ref="J8" si="0">0*C8/100</f>
        <v>0</v>
      </c>
      <c r="K8" s="1">
        <f>23.25*C8/100</f>
        <v>0</v>
      </c>
      <c r="L8" s="1">
        <f>1.55*C8/100</f>
        <v>0</v>
      </c>
    </row>
    <row r="9" spans="1:12" x14ac:dyDescent="0.3">
      <c r="A9" s="1"/>
      <c r="B9" s="1"/>
      <c r="C9" s="3">
        <f t="shared" ref="C9:L9" si="1">SUM(C5:C8)</f>
        <v>350</v>
      </c>
      <c r="D9" s="3">
        <f t="shared" si="1"/>
        <v>8.39</v>
      </c>
      <c r="E9" s="3">
        <f t="shared" si="1"/>
        <v>9.43</v>
      </c>
      <c r="F9" s="3">
        <f t="shared" si="1"/>
        <v>40.584999999999994</v>
      </c>
      <c r="G9" s="3">
        <f t="shared" si="1"/>
        <v>279.96000000000004</v>
      </c>
      <c r="H9" s="3">
        <f t="shared" si="1"/>
        <v>0.16500000000000001</v>
      </c>
      <c r="I9" s="3">
        <f t="shared" si="1"/>
        <v>0.64</v>
      </c>
      <c r="J9" s="3">
        <f t="shared" si="1"/>
        <v>1.5950000000000002</v>
      </c>
      <c r="K9" s="3">
        <f t="shared" si="1"/>
        <v>310.09500000000003</v>
      </c>
      <c r="L9" s="3">
        <f t="shared" si="1"/>
        <v>2.89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85</v>
      </c>
      <c r="D11" s="1">
        <f>0.5*C11/100</f>
        <v>0.42499999999999999</v>
      </c>
      <c r="E11" s="1">
        <f>0.1*C11/100</f>
        <v>8.5000000000000006E-2</v>
      </c>
      <c r="F11" s="1">
        <f>8.1*C11/100</f>
        <v>6.8849999999999998</v>
      </c>
      <c r="G11" s="1">
        <f>46*C11/100</f>
        <v>39.1</v>
      </c>
      <c r="H11" s="1">
        <f>0.01*C11/100</f>
        <v>8.5000000000000006E-3</v>
      </c>
      <c r="I11" s="1">
        <f>0.01*C11/100</f>
        <v>8.5000000000000006E-3</v>
      </c>
      <c r="J11" s="1">
        <f>2*C11/100</f>
        <v>1.7</v>
      </c>
      <c r="K11" s="1">
        <f>7*C11/100</f>
        <v>5.95</v>
      </c>
      <c r="L11" s="1">
        <f>1.4*C11/100</f>
        <v>1.19</v>
      </c>
    </row>
    <row r="12" spans="1:12" x14ac:dyDescent="0.3">
      <c r="A12" s="1" t="s">
        <v>17</v>
      </c>
      <c r="B12" s="1" t="s">
        <v>21</v>
      </c>
      <c r="C12" s="1">
        <v>15</v>
      </c>
      <c r="D12" s="1">
        <f>11.4*C12/100</f>
        <v>1.71</v>
      </c>
      <c r="E12" s="1">
        <f>15.12*C12/100</f>
        <v>2.2679999999999998</v>
      </c>
      <c r="F12" s="1">
        <f>21.75*C12/100</f>
        <v>3.2625000000000002</v>
      </c>
      <c r="G12" s="1">
        <f>208*C12/100</f>
        <v>31.2</v>
      </c>
      <c r="H12" s="1">
        <f>0.13*C12/100</f>
        <v>1.9500000000000003E-2</v>
      </c>
      <c r="I12" s="1">
        <f t="shared" ref="I12" si="2">0*C12/100</f>
        <v>0</v>
      </c>
      <c r="J12" s="1">
        <f t="shared" ref="J12" si="3">0*C12/100</f>
        <v>0</v>
      </c>
      <c r="K12" s="1">
        <f>20*C12/100</f>
        <v>3</v>
      </c>
      <c r="L12" s="1">
        <f>1.53*C12/100</f>
        <v>0.22949999999999998</v>
      </c>
    </row>
    <row r="13" spans="1:12" x14ac:dyDescent="0.3">
      <c r="A13" s="1"/>
      <c r="B13" s="1"/>
      <c r="C13" s="3">
        <f>SUM(C11:C12)</f>
        <v>100</v>
      </c>
      <c r="D13" s="3">
        <f>SUM(D11:D12)</f>
        <v>2.1349999999999998</v>
      </c>
      <c r="E13" s="3">
        <f t="shared" ref="E13:L13" si="4">SUM(E11:E12)</f>
        <v>2.3529999999999998</v>
      </c>
      <c r="F13" s="3">
        <f t="shared" si="4"/>
        <v>10.147500000000001</v>
      </c>
      <c r="G13" s="3">
        <f t="shared" si="4"/>
        <v>70.3</v>
      </c>
      <c r="H13" s="3">
        <f t="shared" si="4"/>
        <v>2.8000000000000004E-2</v>
      </c>
      <c r="I13" s="3">
        <f t="shared" si="4"/>
        <v>8.5000000000000006E-3</v>
      </c>
      <c r="J13" s="3">
        <f t="shared" si="4"/>
        <v>1.7</v>
      </c>
      <c r="K13" s="3">
        <f t="shared" si="4"/>
        <v>8.9499999999999993</v>
      </c>
      <c r="L13" s="3">
        <f t="shared" si="4"/>
        <v>1.4195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44</v>
      </c>
      <c r="B15" s="1" t="s">
        <v>33</v>
      </c>
      <c r="C15" s="1">
        <v>160</v>
      </c>
      <c r="D15" s="1">
        <f>4.07*C15/100</f>
        <v>6.5120000000000005</v>
      </c>
      <c r="E15" s="1">
        <f>1.04*C15/100</f>
        <v>1.6640000000000001</v>
      </c>
      <c r="F15" s="1">
        <f>6.66*C15/100</f>
        <v>10.655999999999999</v>
      </c>
      <c r="G15" s="1">
        <f>60.34*C15/100</f>
        <v>96.544000000000011</v>
      </c>
      <c r="H15" s="1">
        <f>0.04*C15/100</f>
        <v>6.4000000000000001E-2</v>
      </c>
      <c r="I15" s="1">
        <f>0.04*C15/100</f>
        <v>6.4000000000000001E-2</v>
      </c>
      <c r="J15" s="1">
        <f>3.21*C15/100</f>
        <v>5.1360000000000001</v>
      </c>
      <c r="K15" s="1">
        <f>43.17*C15/100</f>
        <v>69.072000000000003</v>
      </c>
      <c r="L15" s="1">
        <f>0.52*C15/100</f>
        <v>0.83200000000000007</v>
      </c>
    </row>
    <row r="16" spans="1:12" ht="21.6" x14ac:dyDescent="0.3">
      <c r="A16" s="1">
        <v>59</v>
      </c>
      <c r="B16" s="2" t="s">
        <v>84</v>
      </c>
      <c r="C16" s="1">
        <v>60</v>
      </c>
      <c r="D16" s="1">
        <f>6.02*C16/100</f>
        <v>3.6120000000000001</v>
      </c>
      <c r="E16" s="1">
        <f>24.13*C16/100</f>
        <v>14.478</v>
      </c>
      <c r="F16" s="1">
        <f>39.72*C16/100</f>
        <v>23.831999999999997</v>
      </c>
      <c r="G16" s="1">
        <f>378.23*C16/100</f>
        <v>226.93800000000002</v>
      </c>
      <c r="H16" s="1">
        <f>0.1*C16/100</f>
        <v>0.06</v>
      </c>
      <c r="I16" s="1">
        <f>0.17*C16/100</f>
        <v>0.10200000000000001</v>
      </c>
      <c r="J16" s="1">
        <f>0.15*C16/100</f>
        <v>0.09</v>
      </c>
      <c r="K16" s="1">
        <f>43.5*C16/100</f>
        <v>26.1</v>
      </c>
      <c r="L16" s="1">
        <f>1.5*C16/100</f>
        <v>0.9</v>
      </c>
    </row>
    <row r="17" spans="1:12" ht="21.6" x14ac:dyDescent="0.3">
      <c r="A17" s="1">
        <v>128</v>
      </c>
      <c r="B17" s="2" t="s">
        <v>85</v>
      </c>
      <c r="C17" s="1">
        <v>50</v>
      </c>
      <c r="D17" s="1">
        <f>2.8*C17/100</f>
        <v>1.4</v>
      </c>
      <c r="E17" s="1">
        <f>0*C17/100</f>
        <v>0</v>
      </c>
      <c r="F17" s="1">
        <f>3.78*C17/100</f>
        <v>1.89</v>
      </c>
      <c r="G17" s="1">
        <f>45.12*C17/100</f>
        <v>22.56</v>
      </c>
      <c r="H17" s="1">
        <f>0*C17/100</f>
        <v>0</v>
      </c>
      <c r="I17" s="1">
        <f>0*C17/100</f>
        <v>0</v>
      </c>
      <c r="J17" s="1">
        <f>0*C17/100</f>
        <v>0</v>
      </c>
      <c r="K17" s="1">
        <f>25*C17/100</f>
        <v>12.5</v>
      </c>
      <c r="L17" s="1">
        <f>1.2*C17/100</f>
        <v>0.6</v>
      </c>
    </row>
    <row r="18" spans="1:12" x14ac:dyDescent="0.3">
      <c r="A18" s="1" t="s">
        <v>17</v>
      </c>
      <c r="B18" s="1" t="s">
        <v>24</v>
      </c>
      <c r="C18" s="1">
        <v>30</v>
      </c>
      <c r="D18" s="1">
        <f>7.9*C18/100</f>
        <v>2.37</v>
      </c>
      <c r="E18" s="1">
        <f>1*C18/100</f>
        <v>0.3</v>
      </c>
      <c r="F18" s="1">
        <f>48.3*C18/100</f>
        <v>14.49</v>
      </c>
      <c r="G18" s="1">
        <f>211.6*C18/100</f>
        <v>63.48</v>
      </c>
      <c r="H18" s="1">
        <f>0.2*C18/100</f>
        <v>0.06</v>
      </c>
      <c r="I18" s="1">
        <f>0*C18/100</f>
        <v>0</v>
      </c>
      <c r="J18" s="1">
        <f t="shared" ref="J18" si="5">0*C18/100</f>
        <v>0</v>
      </c>
      <c r="K18" s="1">
        <f>23*C18/100</f>
        <v>6.9</v>
      </c>
      <c r="L18" s="1">
        <f>1.9*C18/100</f>
        <v>0.56999999999999995</v>
      </c>
    </row>
    <row r="19" spans="1:12" x14ac:dyDescent="0.3">
      <c r="A19" s="1">
        <v>126</v>
      </c>
      <c r="B19" s="1" t="s">
        <v>46</v>
      </c>
      <c r="C19" s="1">
        <v>150</v>
      </c>
      <c r="D19" s="1">
        <f>0.52*C19/100</f>
        <v>0.78</v>
      </c>
      <c r="E19" s="1">
        <f>0*C19/100</f>
        <v>0</v>
      </c>
      <c r="F19" s="1">
        <f>13.48*C19/100</f>
        <v>20.22</v>
      </c>
      <c r="G19" s="1">
        <f>53.72*C19/100</f>
        <v>80.58</v>
      </c>
      <c r="H19" s="1">
        <f>0.01*C19/100</f>
        <v>1.4999999999999999E-2</v>
      </c>
      <c r="I19" s="1">
        <f>0.02*C19/100</f>
        <v>0.03</v>
      </c>
      <c r="J19" s="1">
        <f>0.4*C19/100</f>
        <v>0.6</v>
      </c>
      <c r="K19" s="1">
        <f>20.57*C19/100</f>
        <v>30.855</v>
      </c>
      <c r="L19" s="1">
        <f>0.34*C19/100</f>
        <v>0.51000000000000012</v>
      </c>
    </row>
    <row r="20" spans="1:12" x14ac:dyDescent="0.3">
      <c r="A20" s="1"/>
      <c r="B20" s="1"/>
      <c r="C20" s="3">
        <f t="shared" ref="C20:L20" si="6">SUM(C15:C19)</f>
        <v>450</v>
      </c>
      <c r="D20" s="3">
        <f t="shared" si="6"/>
        <v>14.674000000000001</v>
      </c>
      <c r="E20" s="3">
        <f t="shared" si="6"/>
        <v>16.442</v>
      </c>
      <c r="F20" s="3">
        <f t="shared" si="6"/>
        <v>71.087999999999994</v>
      </c>
      <c r="G20" s="3">
        <f t="shared" si="6"/>
        <v>490.10200000000003</v>
      </c>
      <c r="H20" s="3">
        <f t="shared" si="6"/>
        <v>0.19900000000000001</v>
      </c>
      <c r="I20" s="3">
        <f t="shared" si="6"/>
        <v>0.19600000000000001</v>
      </c>
      <c r="J20" s="3">
        <f t="shared" si="6"/>
        <v>5.8259999999999996</v>
      </c>
      <c r="K20" s="3">
        <f t="shared" si="6"/>
        <v>145.42699999999999</v>
      </c>
      <c r="L20" s="3">
        <f t="shared" si="6"/>
        <v>3.4120000000000004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484</v>
      </c>
      <c r="B22" s="1" t="s">
        <v>61</v>
      </c>
      <c r="C22" s="1">
        <v>60</v>
      </c>
      <c r="D22" s="1">
        <f>6.34*C22/100</f>
        <v>3.8039999999999998</v>
      </c>
      <c r="E22" s="1">
        <f>7.75*C22/100</f>
        <v>4.6500000000000004</v>
      </c>
      <c r="F22" s="1">
        <f>12.37*C22/100</f>
        <v>7.4219999999999997</v>
      </c>
      <c r="G22" s="1">
        <f>147.07*C22/100</f>
        <v>88.24199999999999</v>
      </c>
      <c r="H22" s="1">
        <f>0.17*C22/100</f>
        <v>0.10200000000000001</v>
      </c>
      <c r="I22" s="1">
        <f>0.28*C22/100</f>
        <v>0.16800000000000001</v>
      </c>
      <c r="J22" s="1">
        <f>0.63*C22/100</f>
        <v>0.37799999999999995</v>
      </c>
      <c r="K22" s="1">
        <f>160.5*C22/100</f>
        <v>96.3</v>
      </c>
      <c r="L22" s="1">
        <f>1.52*C22/100</f>
        <v>0.91200000000000003</v>
      </c>
    </row>
    <row r="23" spans="1:12" x14ac:dyDescent="0.3">
      <c r="A23" s="1">
        <v>127</v>
      </c>
      <c r="B23" s="1" t="s">
        <v>26</v>
      </c>
      <c r="C23" s="1">
        <v>150</v>
      </c>
      <c r="D23" s="1">
        <f>0.3*C23/100</f>
        <v>0.45</v>
      </c>
      <c r="E23" s="1">
        <f>0.04*C23/100</f>
        <v>0.06</v>
      </c>
      <c r="F23" s="1">
        <f>8.62*C23/100</f>
        <v>12.929999999999998</v>
      </c>
      <c r="G23" s="1">
        <f>34.72*C23/100</f>
        <v>52.08</v>
      </c>
      <c r="H23" s="1">
        <f>0.003*C23/100</f>
        <v>4.5000000000000005E-3</v>
      </c>
      <c r="I23" s="1">
        <f>0.004*C23/100</f>
        <v>6.0000000000000001E-3</v>
      </c>
      <c r="J23" s="1">
        <f>20*C23/100</f>
        <v>30</v>
      </c>
      <c r="K23" s="1">
        <f>3.76*C23/100</f>
        <v>5.64</v>
      </c>
      <c r="L23" s="1">
        <f>0.15*C23/100</f>
        <v>0.22500000000000001</v>
      </c>
    </row>
    <row r="24" spans="1:12" x14ac:dyDescent="0.3">
      <c r="A24" s="1"/>
      <c r="B24" s="1"/>
      <c r="C24" s="3">
        <f>SUM(C22:C23)</f>
        <v>210</v>
      </c>
      <c r="D24" s="3">
        <f>SUM(D22:D23)</f>
        <v>4.2539999999999996</v>
      </c>
      <c r="E24" s="3">
        <f t="shared" ref="E24:L24" si="7">SUM(E22:E23)</f>
        <v>4.71</v>
      </c>
      <c r="F24" s="3">
        <f t="shared" si="7"/>
        <v>20.351999999999997</v>
      </c>
      <c r="G24" s="3">
        <f t="shared" si="7"/>
        <v>140.322</v>
      </c>
      <c r="H24" s="3">
        <f t="shared" si="7"/>
        <v>0.10650000000000001</v>
      </c>
      <c r="I24" s="3">
        <f t="shared" si="7"/>
        <v>0.17400000000000002</v>
      </c>
      <c r="J24" s="3">
        <f t="shared" si="7"/>
        <v>30.378</v>
      </c>
      <c r="K24" s="3">
        <f t="shared" si="7"/>
        <v>101.94</v>
      </c>
      <c r="L24" s="3">
        <f t="shared" si="7"/>
        <v>1.137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 t="s">
        <v>17</v>
      </c>
      <c r="B26" s="1" t="s">
        <v>62</v>
      </c>
      <c r="C26" s="1">
        <v>80</v>
      </c>
      <c r="D26" s="1">
        <f>2.6*C26/100</f>
        <v>2.08</v>
      </c>
      <c r="E26" s="1">
        <f>2.92*C26/100</f>
        <v>2.3359999999999999</v>
      </c>
      <c r="F26" s="1">
        <f>12.69*C26/100</f>
        <v>10.151999999999999</v>
      </c>
      <c r="G26" s="1">
        <f>87.5*C26/100</f>
        <v>70</v>
      </c>
      <c r="H26" s="1">
        <f>0.04*C26/100</f>
        <v>3.2000000000000001E-2</v>
      </c>
      <c r="I26" s="1">
        <f>0.17*C26/100</f>
        <v>0.13600000000000001</v>
      </c>
      <c r="J26" s="1">
        <f>0.7*C26/100</f>
        <v>0.56000000000000005</v>
      </c>
      <c r="K26" s="1">
        <f>126*C26/100</f>
        <v>100.8</v>
      </c>
      <c r="L26" s="1">
        <f>0.1*C26/100</f>
        <v>0.08</v>
      </c>
    </row>
    <row r="27" spans="1:12" x14ac:dyDescent="0.3">
      <c r="A27" s="1"/>
      <c r="B27" s="1"/>
      <c r="C27" s="1"/>
      <c r="D27" s="1">
        <f>0.5*C27/100</f>
        <v>0</v>
      </c>
      <c r="E27" s="1">
        <f>0*C27/100</f>
        <v>0</v>
      </c>
      <c r="F27" s="1">
        <f>21.4*C27/100</f>
        <v>0</v>
      </c>
      <c r="G27" s="1">
        <f>85*C27/100</f>
        <v>0</v>
      </c>
      <c r="H27" s="1">
        <f>0.02*C27/100</f>
        <v>0</v>
      </c>
      <c r="I27" s="1">
        <f>0.04*C27/100</f>
        <v>0</v>
      </c>
      <c r="J27" s="1">
        <f>4*C27/100</f>
        <v>0</v>
      </c>
      <c r="K27" s="1">
        <f>12*C27/100</f>
        <v>0</v>
      </c>
      <c r="L27" s="1">
        <f>0.7*C27/100</f>
        <v>0</v>
      </c>
    </row>
    <row r="28" spans="1:12" x14ac:dyDescent="0.3">
      <c r="A28" s="1"/>
      <c r="B28" s="1"/>
      <c r="C28" s="3">
        <f>SUM(C26:C27)</f>
        <v>80</v>
      </c>
      <c r="D28" s="3">
        <f>SUM(D26:D27)</f>
        <v>2.08</v>
      </c>
      <c r="E28" s="3">
        <f t="shared" ref="E28:L28" si="8">SUM(E26:E27)</f>
        <v>2.3359999999999999</v>
      </c>
      <c r="F28" s="3">
        <f t="shared" si="8"/>
        <v>10.151999999999999</v>
      </c>
      <c r="G28" s="3">
        <f t="shared" si="8"/>
        <v>70</v>
      </c>
      <c r="H28" s="3">
        <f t="shared" si="8"/>
        <v>3.2000000000000001E-2</v>
      </c>
      <c r="I28" s="3">
        <f t="shared" si="8"/>
        <v>0.13600000000000001</v>
      </c>
      <c r="J28" s="3">
        <f t="shared" si="8"/>
        <v>0.56000000000000005</v>
      </c>
      <c r="K28" s="3">
        <f t="shared" si="8"/>
        <v>100.8</v>
      </c>
      <c r="L28" s="3">
        <f t="shared" si="8"/>
        <v>0.08</v>
      </c>
    </row>
    <row r="29" spans="1:12" x14ac:dyDescent="0.3">
      <c r="A29" s="1"/>
      <c r="B29" s="3" t="s">
        <v>30</v>
      </c>
      <c r="C29" s="3"/>
      <c r="D29" s="3">
        <f t="shared" ref="D29:L29" si="9">D9+D13+D20+D24+D28</f>
        <v>31.533000000000001</v>
      </c>
      <c r="E29" s="3">
        <f t="shared" si="9"/>
        <v>35.271000000000001</v>
      </c>
      <c r="F29" s="3">
        <f t="shared" si="9"/>
        <v>152.32449999999997</v>
      </c>
      <c r="G29" s="3">
        <f t="shared" si="9"/>
        <v>1050.6840000000002</v>
      </c>
      <c r="H29" s="3">
        <f t="shared" si="9"/>
        <v>0.53050000000000008</v>
      </c>
      <c r="I29" s="3">
        <f t="shared" si="9"/>
        <v>1.1545000000000001</v>
      </c>
      <c r="J29" s="3">
        <f t="shared" si="9"/>
        <v>40.058999999999997</v>
      </c>
      <c r="K29" s="3">
        <f t="shared" si="9"/>
        <v>667.21199999999999</v>
      </c>
      <c r="L29" s="3">
        <f t="shared" si="9"/>
        <v>8.9385000000000012</v>
      </c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F31" sqref="F31"/>
    </sheetView>
  </sheetViews>
  <sheetFormatPr defaultRowHeight="14.4" x14ac:dyDescent="0.3"/>
  <cols>
    <col min="1" max="1" width="5.109375" customWidth="1"/>
    <col min="2" max="2" width="24.88671875" customWidth="1"/>
  </cols>
  <sheetData>
    <row r="1" spans="1:12" x14ac:dyDescent="0.3">
      <c r="A1" s="3" t="s">
        <v>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38</v>
      </c>
      <c r="B5" s="1" t="s">
        <v>86</v>
      </c>
      <c r="C5" s="1">
        <v>150</v>
      </c>
      <c r="D5" s="1">
        <f>3.87*C5/150</f>
        <v>3.87</v>
      </c>
      <c r="E5" s="1">
        <f>2.71*C5/150</f>
        <v>2.71</v>
      </c>
      <c r="F5" s="1">
        <f>6.43*C5/150</f>
        <v>6.43</v>
      </c>
      <c r="G5" s="1">
        <f>115.58*C5/150</f>
        <v>115.58</v>
      </c>
      <c r="H5" s="1">
        <f>0.14*C5/100</f>
        <v>0.21000000000000005</v>
      </c>
      <c r="I5" s="1">
        <f>0.07*C5/100</f>
        <v>0.10500000000000002</v>
      </c>
      <c r="J5" s="1">
        <f>0*C5/100</f>
        <v>0</v>
      </c>
      <c r="K5" s="1">
        <f>9.49*C5/100</f>
        <v>14.234999999999999</v>
      </c>
      <c r="L5" s="1">
        <f>3.03*C5/100</f>
        <v>4.544999999999999</v>
      </c>
    </row>
    <row r="6" spans="1:12" x14ac:dyDescent="0.3">
      <c r="A6" s="1">
        <v>1</v>
      </c>
      <c r="B6" s="1" t="s">
        <v>15</v>
      </c>
      <c r="C6" s="1">
        <v>40</v>
      </c>
      <c r="D6" s="1">
        <f>5.1*C6/100</f>
        <v>2.04</v>
      </c>
      <c r="E6" s="1">
        <f>10.2*C6/100</f>
        <v>4.08</v>
      </c>
      <c r="F6" s="1">
        <f>29.75*C6/100</f>
        <v>11.9</v>
      </c>
      <c r="G6" s="1">
        <f>195*C6/100</f>
        <v>78</v>
      </c>
      <c r="H6" s="1">
        <f>0.12*C6/100</f>
        <v>4.8000000000000001E-2</v>
      </c>
      <c r="I6" s="1">
        <f>0.08*C6/100</f>
        <v>3.2000000000000001E-2</v>
      </c>
      <c r="J6" s="1">
        <f t="shared" ref="J6" si="0">0*C6/100</f>
        <v>0</v>
      </c>
      <c r="K6" s="1">
        <f>23.25*C6/100</f>
        <v>9.3000000000000007</v>
      </c>
      <c r="L6" s="1">
        <f>1.55*C6/100</f>
        <v>0.62</v>
      </c>
    </row>
    <row r="7" spans="1:12" x14ac:dyDescent="0.3">
      <c r="A7" s="1">
        <v>138</v>
      </c>
      <c r="B7" s="1" t="s">
        <v>16</v>
      </c>
      <c r="C7" s="1">
        <v>160</v>
      </c>
      <c r="D7" s="1">
        <f>1.56*C7/100</f>
        <v>2.4960000000000004</v>
      </c>
      <c r="E7" s="1">
        <f>1.62*C7/100</f>
        <v>2.5920000000000005</v>
      </c>
      <c r="F7" s="1">
        <f>13.95*C7/100</f>
        <v>22.32</v>
      </c>
      <c r="G7" s="1">
        <f>54.34*C7/100</f>
        <v>86.944000000000017</v>
      </c>
      <c r="H7" s="1">
        <f>0.01*C7/100</f>
        <v>1.6E-2</v>
      </c>
      <c r="I7" s="1">
        <f>0.07*C7/100</f>
        <v>0.11200000000000002</v>
      </c>
      <c r="J7" s="1">
        <f>0.33*C7/100</f>
        <v>0.52800000000000002</v>
      </c>
      <c r="K7" s="1">
        <f>64.05*C7/100</f>
        <v>102.48</v>
      </c>
      <c r="L7" s="1">
        <f>0.32*C7/100</f>
        <v>0.51200000000000001</v>
      </c>
    </row>
    <row r="8" spans="1:12" x14ac:dyDescent="0.3">
      <c r="A8" s="1"/>
      <c r="B8" s="1"/>
      <c r="C8" s="3">
        <f t="shared" ref="C8:L8" si="1">SUM(C5:C7)</f>
        <v>350</v>
      </c>
      <c r="D8" s="3">
        <f t="shared" si="1"/>
        <v>8.4060000000000006</v>
      </c>
      <c r="E8" s="3">
        <f t="shared" si="1"/>
        <v>9.3820000000000014</v>
      </c>
      <c r="F8" s="3">
        <f t="shared" si="1"/>
        <v>40.65</v>
      </c>
      <c r="G8" s="3">
        <f t="shared" si="1"/>
        <v>280.524</v>
      </c>
      <c r="H8" s="3">
        <f t="shared" si="1"/>
        <v>0.27400000000000008</v>
      </c>
      <c r="I8" s="3">
        <f t="shared" si="1"/>
        <v>0.24900000000000003</v>
      </c>
      <c r="J8" s="3">
        <f t="shared" si="1"/>
        <v>0.52800000000000002</v>
      </c>
      <c r="K8" s="3">
        <f t="shared" si="1"/>
        <v>126.015</v>
      </c>
      <c r="L8" s="3">
        <f t="shared" si="1"/>
        <v>5.6769999999999996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134</v>
      </c>
      <c r="B10" s="1" t="s">
        <v>20</v>
      </c>
      <c r="C10" s="1">
        <v>120</v>
      </c>
      <c r="D10" s="1">
        <f>0.5*C10/100</f>
        <v>0.6</v>
      </c>
      <c r="E10" s="1">
        <f>0.1*C10/100</f>
        <v>0.12</v>
      </c>
      <c r="F10" s="1">
        <f>5.96*C10/100</f>
        <v>7.1520000000000001</v>
      </c>
      <c r="G10" s="1">
        <f>33*C10/100</f>
        <v>39.6</v>
      </c>
      <c r="H10" s="1">
        <f>0.01*C10/100</f>
        <v>1.2E-2</v>
      </c>
      <c r="I10" s="1">
        <f>0.01*C10/100</f>
        <v>1.2E-2</v>
      </c>
      <c r="J10" s="1">
        <f>2*C10/100</f>
        <v>2.4</v>
      </c>
      <c r="K10" s="1">
        <f>7*C10/100</f>
        <v>8.4</v>
      </c>
      <c r="L10" s="1">
        <f>1.4*C10/100</f>
        <v>1.68</v>
      </c>
    </row>
    <row r="11" spans="1:12" x14ac:dyDescent="0.3">
      <c r="A11" s="1" t="s">
        <v>17</v>
      </c>
      <c r="B11" s="1" t="s">
        <v>18</v>
      </c>
      <c r="C11" s="1">
        <v>15</v>
      </c>
      <c r="D11" s="1">
        <f>9.92*C11/100</f>
        <v>1.4880000000000002</v>
      </c>
      <c r="E11" s="1">
        <f>14.57*C11/100</f>
        <v>2.1855000000000002</v>
      </c>
      <c r="F11" s="1">
        <f>19.92*C11/100</f>
        <v>2.988</v>
      </c>
      <c r="G11" s="1">
        <f>203*C11/100</f>
        <v>30.45</v>
      </c>
      <c r="H11" s="1">
        <f>0.33*C11/100</f>
        <v>4.9500000000000002E-2</v>
      </c>
      <c r="I11" s="1">
        <f>0*C11/100</f>
        <v>0</v>
      </c>
      <c r="J11" s="1">
        <f>0*C11/100</f>
        <v>0</v>
      </c>
      <c r="K11" s="1">
        <f>186.67*C11/100</f>
        <v>28.000499999999999</v>
      </c>
      <c r="L11" s="1">
        <f>1.83*C11/100</f>
        <v>0.27450000000000002</v>
      </c>
    </row>
    <row r="12" spans="1:12" x14ac:dyDescent="0.3">
      <c r="A12" s="1"/>
      <c r="B12" s="1"/>
      <c r="C12" s="3">
        <f>SUM(C10:C11)</f>
        <v>135</v>
      </c>
      <c r="D12" s="3">
        <f>SUM(D10:D11)</f>
        <v>2.0880000000000001</v>
      </c>
      <c r="E12" s="3">
        <f t="shared" ref="E12:L12" si="2">SUM(E10:E11)</f>
        <v>2.3055000000000003</v>
      </c>
      <c r="F12" s="3">
        <f t="shared" si="2"/>
        <v>10.14</v>
      </c>
      <c r="G12" s="3">
        <f t="shared" si="2"/>
        <v>70.05</v>
      </c>
      <c r="H12" s="3">
        <f t="shared" si="2"/>
        <v>6.1499999999999999E-2</v>
      </c>
      <c r="I12" s="3">
        <f t="shared" si="2"/>
        <v>1.2E-2</v>
      </c>
      <c r="J12" s="3">
        <f t="shared" si="2"/>
        <v>2.4</v>
      </c>
      <c r="K12" s="3">
        <f t="shared" si="2"/>
        <v>36.400500000000001</v>
      </c>
      <c r="L12" s="3">
        <f t="shared" si="2"/>
        <v>1.9544999999999999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21.6" x14ac:dyDescent="0.3">
      <c r="A14" s="1">
        <v>113</v>
      </c>
      <c r="B14" s="2" t="s">
        <v>65</v>
      </c>
      <c r="C14" s="1">
        <v>160</v>
      </c>
      <c r="D14" s="1">
        <f>2.6*C14/100</f>
        <v>4.16</v>
      </c>
      <c r="E14" s="1">
        <f>2.3*C14/100</f>
        <v>3.68</v>
      </c>
      <c r="F14" s="1">
        <f>6.5*C14/100</f>
        <v>10.4</v>
      </c>
      <c r="G14" s="1">
        <f>57*C14/100</f>
        <v>91.2</v>
      </c>
      <c r="H14" s="1">
        <f>0.04*C14/100</f>
        <v>6.4000000000000001E-2</v>
      </c>
      <c r="I14" s="1">
        <f>0.04*C14/100</f>
        <v>6.4000000000000001E-2</v>
      </c>
      <c r="J14" s="1">
        <f>3.21*C14/100</f>
        <v>5.1360000000000001</v>
      </c>
      <c r="K14" s="1">
        <f>43.17*C14/100</f>
        <v>69.072000000000003</v>
      </c>
      <c r="L14" s="1">
        <f>0.52*C14/100</f>
        <v>0.83200000000000007</v>
      </c>
    </row>
    <row r="15" spans="1:12" ht="21.6" x14ac:dyDescent="0.3">
      <c r="A15" s="1">
        <v>88</v>
      </c>
      <c r="B15" s="2" t="s">
        <v>87</v>
      </c>
      <c r="C15" s="1">
        <v>60</v>
      </c>
      <c r="D15" s="1">
        <f>10.84*C15/100</f>
        <v>6.5039999999999996</v>
      </c>
      <c r="E15" s="1">
        <f>19.03*C15/100</f>
        <v>11.418000000000001</v>
      </c>
      <c r="F15" s="1">
        <f>41.97*C15/100</f>
        <v>25.181999999999999</v>
      </c>
      <c r="G15" s="1">
        <f>373.25*C15/100</f>
        <v>223.95</v>
      </c>
      <c r="H15" s="1">
        <f>0.07*C15/100</f>
        <v>4.2000000000000003E-2</v>
      </c>
      <c r="I15" s="1">
        <f>0.08*C15/100</f>
        <v>4.8000000000000001E-2</v>
      </c>
      <c r="J15" s="1">
        <f>3.94*C15/100</f>
        <v>2.3639999999999999</v>
      </c>
      <c r="K15" s="1">
        <f>17.49*C15/100</f>
        <v>10.493999999999998</v>
      </c>
      <c r="L15" s="1">
        <f>1.52*C15/100</f>
        <v>0.91200000000000003</v>
      </c>
    </row>
    <row r="16" spans="1:12" x14ac:dyDescent="0.3">
      <c r="A16" s="1" t="s">
        <v>17</v>
      </c>
      <c r="B16" s="1" t="s">
        <v>24</v>
      </c>
      <c r="C16" s="1">
        <v>40</v>
      </c>
      <c r="D16" s="1">
        <f>7.9*C16/100</f>
        <v>3.16</v>
      </c>
      <c r="E16" s="1">
        <f>1*C16/100</f>
        <v>0.4</v>
      </c>
      <c r="F16" s="1">
        <f>48.3*C16/100</f>
        <v>19.32</v>
      </c>
      <c r="G16" s="1">
        <f>213.6*C16/100</f>
        <v>85.44</v>
      </c>
      <c r="H16" s="1">
        <f>0.2*C16/100</f>
        <v>0.08</v>
      </c>
      <c r="I16" s="1">
        <f>0*C16/100</f>
        <v>0</v>
      </c>
      <c r="J16" s="1">
        <f t="shared" ref="J16:J17" si="3">0*C16/100</f>
        <v>0</v>
      </c>
      <c r="K16" s="1">
        <f>23*C16/100</f>
        <v>9.1999999999999993</v>
      </c>
      <c r="L16" s="1">
        <f>1.9*C16/100</f>
        <v>0.76</v>
      </c>
    </row>
    <row r="17" spans="1:12" x14ac:dyDescent="0.3">
      <c r="A17" s="1">
        <v>189</v>
      </c>
      <c r="B17" s="1" t="s">
        <v>88</v>
      </c>
      <c r="C17" s="1">
        <v>40</v>
      </c>
      <c r="D17" s="1">
        <f>0.88*C17/100</f>
        <v>0.35200000000000004</v>
      </c>
      <c r="E17" s="1">
        <f>2.24*C17/100</f>
        <v>0.89600000000000013</v>
      </c>
      <c r="F17" s="1">
        <f>8.12*C17/100</f>
        <v>3.2479999999999993</v>
      </c>
      <c r="G17" s="1">
        <f>94.4*C17/100</f>
        <v>37.76</v>
      </c>
      <c r="H17" s="1">
        <f>0.8*C17/100</f>
        <v>0.32</v>
      </c>
      <c r="I17" s="1">
        <f>0.2*C17/100</f>
        <v>0.08</v>
      </c>
      <c r="J17" s="1">
        <f t="shared" si="3"/>
        <v>0</v>
      </c>
      <c r="K17" s="1">
        <f>115*C17/100</f>
        <v>46</v>
      </c>
      <c r="L17" s="1">
        <f>9.4*C17/100</f>
        <v>3.76</v>
      </c>
    </row>
    <row r="18" spans="1:12" x14ac:dyDescent="0.3">
      <c r="A18" s="1">
        <v>127</v>
      </c>
      <c r="B18" s="1" t="s">
        <v>26</v>
      </c>
      <c r="C18" s="1">
        <v>150</v>
      </c>
      <c r="D18" s="1">
        <f>0.3*C18/100</f>
        <v>0.45</v>
      </c>
      <c r="E18" s="1">
        <f>0.04*C18/100</f>
        <v>0.06</v>
      </c>
      <c r="F18" s="1">
        <f>8.62*C18/100</f>
        <v>12.929999999999998</v>
      </c>
      <c r="G18" s="1">
        <f>34.72*C18/100</f>
        <v>52.08</v>
      </c>
      <c r="H18" s="1">
        <f>0.003*C18/100</f>
        <v>4.5000000000000005E-3</v>
      </c>
      <c r="I18" s="1">
        <f>0.004*C18/100</f>
        <v>6.0000000000000001E-3</v>
      </c>
      <c r="J18" s="1">
        <f>20*C18/100</f>
        <v>30</v>
      </c>
      <c r="K18" s="1">
        <f>3.76*C18/100</f>
        <v>5.64</v>
      </c>
      <c r="L18" s="1">
        <f>0.15*C18/100</f>
        <v>0.22500000000000001</v>
      </c>
    </row>
    <row r="19" spans="1:12" x14ac:dyDescent="0.3">
      <c r="A19" s="1"/>
      <c r="B19" s="1"/>
      <c r="C19" s="1"/>
      <c r="D19" s="1">
        <f>0.3*C19/100</f>
        <v>0</v>
      </c>
      <c r="E19" s="1">
        <f>0.04*C19/100</f>
        <v>0</v>
      </c>
      <c r="F19" s="1">
        <f>8.71*C19/100</f>
        <v>0</v>
      </c>
      <c r="G19" s="1">
        <f>34.72*C19/100</f>
        <v>0</v>
      </c>
      <c r="H19" s="1">
        <f>0.003*C19/100</f>
        <v>0</v>
      </c>
      <c r="I19" s="1">
        <f>0.004*C19/100</f>
        <v>0</v>
      </c>
      <c r="J19" s="1">
        <f>20*C19/100</f>
        <v>0</v>
      </c>
      <c r="K19" s="1">
        <f>3.76*C19/100</f>
        <v>0</v>
      </c>
      <c r="L19" s="1">
        <f>0.15*C19/100</f>
        <v>0</v>
      </c>
    </row>
    <row r="20" spans="1:12" x14ac:dyDescent="0.3">
      <c r="A20" s="1"/>
      <c r="B20" s="1"/>
      <c r="C20" s="3">
        <f>SUM(C14:C19)</f>
        <v>450</v>
      </c>
      <c r="D20" s="3">
        <f>SUM(D14:D19)</f>
        <v>14.625999999999999</v>
      </c>
      <c r="E20" s="3">
        <f t="shared" ref="E20:L20" si="4">SUM(E14:E19)</f>
        <v>16.454000000000001</v>
      </c>
      <c r="F20" s="3">
        <f t="shared" si="4"/>
        <v>71.08</v>
      </c>
      <c r="G20" s="3">
        <f t="shared" si="4"/>
        <v>490.42999999999995</v>
      </c>
      <c r="H20" s="3">
        <f t="shared" si="4"/>
        <v>0.51049999999999995</v>
      </c>
      <c r="I20" s="3">
        <f t="shared" si="4"/>
        <v>0.19800000000000001</v>
      </c>
      <c r="J20" s="3">
        <f t="shared" si="4"/>
        <v>37.5</v>
      </c>
      <c r="K20" s="3">
        <f t="shared" si="4"/>
        <v>140.40600000000001</v>
      </c>
      <c r="L20" s="3">
        <f t="shared" si="4"/>
        <v>6.4889999999999999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465</v>
      </c>
      <c r="B22" s="1" t="s">
        <v>66</v>
      </c>
      <c r="C22" s="1">
        <v>50</v>
      </c>
      <c r="D22" s="1">
        <f>4.45*C22/100</f>
        <v>2.2250000000000001</v>
      </c>
      <c r="E22" s="1">
        <f>4.62*C22/100</f>
        <v>2.31</v>
      </c>
      <c r="F22" s="1">
        <f>22.78*C22/100</f>
        <v>11.39</v>
      </c>
      <c r="G22" s="1">
        <f>178*C22/100</f>
        <v>89</v>
      </c>
      <c r="H22" s="1">
        <f>0.14*C22/100</f>
        <v>7.0000000000000007E-2</v>
      </c>
      <c r="I22" s="1">
        <f>0.08*C22/100</f>
        <v>0.04</v>
      </c>
      <c r="J22" s="1">
        <f>0*C22/100</f>
        <v>0</v>
      </c>
      <c r="K22" s="1">
        <f>22.4*C22/100</f>
        <v>11.2</v>
      </c>
      <c r="L22" s="1">
        <f>1.4*C22/100</f>
        <v>0.7</v>
      </c>
    </row>
    <row r="23" spans="1:12" x14ac:dyDescent="0.3">
      <c r="A23" s="1">
        <v>138</v>
      </c>
      <c r="B23" s="1" t="s">
        <v>16</v>
      </c>
      <c r="C23" s="1">
        <v>150</v>
      </c>
      <c r="D23" s="1">
        <f>1.32*C23/100</f>
        <v>1.98</v>
      </c>
      <c r="E23" s="1">
        <f>1.62*C23/100</f>
        <v>2.4300000000000002</v>
      </c>
      <c r="F23" s="1">
        <f>5.95*C23/100</f>
        <v>8.9250000000000007</v>
      </c>
      <c r="G23" s="1">
        <f>34.39*C23/100</f>
        <v>51.585000000000001</v>
      </c>
      <c r="H23" s="1">
        <f>0.01*C23/100</f>
        <v>1.4999999999999999E-2</v>
      </c>
      <c r="I23" s="1">
        <f>0.07*C23/100</f>
        <v>0.10500000000000002</v>
      </c>
      <c r="J23" s="1">
        <f>0.33*C23/100</f>
        <v>0.495</v>
      </c>
      <c r="K23" s="1">
        <f>64.05*C23/100</f>
        <v>96.075000000000003</v>
      </c>
      <c r="L23" s="1">
        <f>0.32*C23/100</f>
        <v>0.48</v>
      </c>
    </row>
    <row r="24" spans="1:12" x14ac:dyDescent="0.3">
      <c r="A24" s="1"/>
      <c r="B24" s="1"/>
      <c r="C24" s="3">
        <f>SUM(C22:C23)</f>
        <v>200</v>
      </c>
      <c r="D24" s="3">
        <f>SUM(D22:D23)</f>
        <v>4.2050000000000001</v>
      </c>
      <c r="E24" s="3">
        <f t="shared" ref="E24:L24" si="5">SUM(E22:E23)</f>
        <v>4.74</v>
      </c>
      <c r="F24" s="3">
        <f t="shared" si="5"/>
        <v>20.315000000000001</v>
      </c>
      <c r="G24" s="3">
        <f t="shared" si="5"/>
        <v>140.58500000000001</v>
      </c>
      <c r="H24" s="3">
        <f t="shared" si="5"/>
        <v>8.5000000000000006E-2</v>
      </c>
      <c r="I24" s="3">
        <f t="shared" si="5"/>
        <v>0.14500000000000002</v>
      </c>
      <c r="J24" s="3">
        <f t="shared" si="5"/>
        <v>0.495</v>
      </c>
      <c r="K24" s="3">
        <f t="shared" si="5"/>
        <v>107.27500000000001</v>
      </c>
      <c r="L24" s="3">
        <f t="shared" si="5"/>
        <v>1.18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>
        <v>43</v>
      </c>
      <c r="B26" s="1" t="s">
        <v>89</v>
      </c>
      <c r="C26" s="1">
        <v>45</v>
      </c>
      <c r="D26" s="1">
        <f>1.2*C26/100</f>
        <v>0.54</v>
      </c>
      <c r="E26" s="1">
        <f>2.53*C26/100</f>
        <v>1.1384999999999998</v>
      </c>
      <c r="F26" s="1">
        <f>0.13*C26/100</f>
        <v>5.8500000000000003E-2</v>
      </c>
      <c r="G26" s="1">
        <f>23*C26/100</f>
        <v>10.35</v>
      </c>
      <c r="H26" s="1">
        <f>0.13*C26/100</f>
        <v>5.8500000000000003E-2</v>
      </c>
      <c r="I26" s="1">
        <f t="shared" ref="I26" si="6">0*C26/100</f>
        <v>0</v>
      </c>
      <c r="J26" s="1">
        <f t="shared" ref="J26" si="7">0*C26/100</f>
        <v>0</v>
      </c>
      <c r="K26" s="1">
        <f>20*C26/100</f>
        <v>9</v>
      </c>
      <c r="L26" s="1">
        <f>1.53*C26/100</f>
        <v>0.68849999999999989</v>
      </c>
    </row>
    <row r="27" spans="1:12" x14ac:dyDescent="0.3">
      <c r="A27" s="1">
        <v>397</v>
      </c>
      <c r="B27" s="1" t="s">
        <v>32</v>
      </c>
      <c r="C27" s="1">
        <v>75</v>
      </c>
      <c r="D27" s="1">
        <f>2.1*C27/100</f>
        <v>1.575</v>
      </c>
      <c r="E27" s="1">
        <f>1.68*C27/100</f>
        <v>1.26</v>
      </c>
      <c r="F27" s="1">
        <f>13.64*C27/100</f>
        <v>10.23</v>
      </c>
      <c r="G27" s="1">
        <f>82.33*C27/100</f>
        <v>61.747500000000002</v>
      </c>
      <c r="H27" s="1">
        <f>0.03*C27/100</f>
        <v>2.2499999999999999E-2</v>
      </c>
      <c r="I27" s="1">
        <f>0.09*C27/100</f>
        <v>6.7500000000000004E-2</v>
      </c>
      <c r="J27" s="1">
        <f>0.8*C27/100</f>
        <v>0.6</v>
      </c>
      <c r="K27" s="1">
        <f>76.47*C27/100</f>
        <v>57.352499999999999</v>
      </c>
      <c r="L27" s="1">
        <f>0.27*C27/100</f>
        <v>0.20250000000000001</v>
      </c>
    </row>
    <row r="28" spans="1:12" x14ac:dyDescent="0.3">
      <c r="A28" s="1"/>
      <c r="B28" s="1"/>
      <c r="C28" s="3">
        <f>SUM(C26:C27)</f>
        <v>120</v>
      </c>
      <c r="D28" s="3">
        <f>SUM(D26:D27)</f>
        <v>2.1150000000000002</v>
      </c>
      <c r="E28" s="3">
        <f t="shared" ref="E28:L28" si="8">SUM(E26:E27)</f>
        <v>2.3984999999999999</v>
      </c>
      <c r="F28" s="3">
        <f t="shared" si="8"/>
        <v>10.288500000000001</v>
      </c>
      <c r="G28" s="3">
        <f t="shared" si="8"/>
        <v>72.097499999999997</v>
      </c>
      <c r="H28" s="3">
        <f t="shared" si="8"/>
        <v>8.1000000000000003E-2</v>
      </c>
      <c r="I28" s="3">
        <f t="shared" si="8"/>
        <v>6.7500000000000004E-2</v>
      </c>
      <c r="J28" s="3">
        <f t="shared" si="8"/>
        <v>0.6</v>
      </c>
      <c r="K28" s="3">
        <f t="shared" si="8"/>
        <v>66.352499999999992</v>
      </c>
      <c r="L28" s="3">
        <f t="shared" si="8"/>
        <v>0.8909999999999999</v>
      </c>
    </row>
    <row r="29" spans="1:12" x14ac:dyDescent="0.3">
      <c r="A29" s="1"/>
      <c r="B29" s="3" t="s">
        <v>30</v>
      </c>
      <c r="C29" s="3"/>
      <c r="D29" s="3">
        <f>D8+D12+D20+D24+D28</f>
        <v>31.439999999999998</v>
      </c>
      <c r="E29" s="3">
        <f t="shared" ref="E29:L29" si="9">E8+E12+E20+E24+E28</f>
        <v>35.28</v>
      </c>
      <c r="F29" s="3">
        <f t="shared" si="9"/>
        <v>152.4735</v>
      </c>
      <c r="G29" s="3">
        <f t="shared" si="9"/>
        <v>1053.6865</v>
      </c>
      <c r="H29" s="3">
        <f t="shared" si="9"/>
        <v>1.012</v>
      </c>
      <c r="I29" s="3">
        <f t="shared" si="9"/>
        <v>0.6715000000000001</v>
      </c>
      <c r="J29" s="3">
        <f t="shared" si="9"/>
        <v>41.522999999999996</v>
      </c>
      <c r="K29" s="3">
        <f t="shared" si="9"/>
        <v>476.44899999999996</v>
      </c>
      <c r="L29" s="3">
        <f t="shared" si="9"/>
        <v>16.191499999999998</v>
      </c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N16" sqref="N16"/>
    </sheetView>
  </sheetViews>
  <sheetFormatPr defaultRowHeight="14.4" x14ac:dyDescent="0.3"/>
  <cols>
    <col min="1" max="1" width="3.88671875" customWidth="1"/>
    <col min="2" max="2" width="21.6640625" customWidth="1"/>
    <col min="3" max="3" width="5.44140625" customWidth="1"/>
  </cols>
  <sheetData>
    <row r="1" spans="1:12" x14ac:dyDescent="0.3">
      <c r="A1" s="3" t="s">
        <v>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1.6" x14ac:dyDescent="0.3">
      <c r="A5" s="1">
        <v>212</v>
      </c>
      <c r="B5" s="2" t="s">
        <v>90</v>
      </c>
      <c r="C5" s="1">
        <v>70</v>
      </c>
      <c r="D5" s="1">
        <f>1.22*C5/60</f>
        <v>1.4233333333333331</v>
      </c>
      <c r="E5" s="1">
        <f>3.81*C5/60</f>
        <v>4.4449999999999994</v>
      </c>
      <c r="F5" s="1">
        <f>1.6*C5/60</f>
        <v>1.8666666666666667</v>
      </c>
      <c r="G5" s="1">
        <f>25.74*C5/60</f>
        <v>30.029999999999998</v>
      </c>
      <c r="H5" s="1">
        <f>0.04*C5/100</f>
        <v>2.8000000000000004E-2</v>
      </c>
      <c r="I5" s="1">
        <f>0.011*C5/100</f>
        <v>7.6999999999999994E-3</v>
      </c>
      <c r="J5" s="1">
        <f>0.46*C5/100</f>
        <v>0.32200000000000001</v>
      </c>
      <c r="K5" s="1">
        <f>82.37*C5/100</f>
        <v>57.659000000000006</v>
      </c>
      <c r="L5" s="1">
        <f>0.27*C5/100</f>
        <v>0.18900000000000003</v>
      </c>
    </row>
    <row r="6" spans="1:12" x14ac:dyDescent="0.3">
      <c r="A6" s="1">
        <v>315</v>
      </c>
      <c r="B6" s="2" t="s">
        <v>44</v>
      </c>
      <c r="C6" s="1">
        <v>60</v>
      </c>
      <c r="D6" s="1">
        <f>2.43*C6/100</f>
        <v>1.4580000000000002</v>
      </c>
      <c r="E6" s="1">
        <f>3.58*C6/100</f>
        <v>2.1480000000000001</v>
      </c>
      <c r="F6" s="1">
        <f>12.46*C6/100</f>
        <v>7.476</v>
      </c>
      <c r="G6" s="1">
        <f>139*C6/100</f>
        <v>83.4</v>
      </c>
      <c r="H6" s="1">
        <f>0.02*C6/100</f>
        <v>1.2E-2</v>
      </c>
      <c r="I6" s="1">
        <f>0.01*C6/100</f>
        <v>6.0000000000000001E-3</v>
      </c>
      <c r="J6" s="1">
        <f>0*C6/100</f>
        <v>0</v>
      </c>
      <c r="K6" s="1">
        <f>0.91*C6/100</f>
        <v>0.54600000000000004</v>
      </c>
      <c r="L6" s="1">
        <f>0.35*C6/100</f>
        <v>0.21</v>
      </c>
    </row>
    <row r="7" spans="1:12" x14ac:dyDescent="0.3">
      <c r="A7" s="1" t="s">
        <v>17</v>
      </c>
      <c r="B7" s="1" t="s">
        <v>24</v>
      </c>
      <c r="C7" s="1">
        <v>40</v>
      </c>
      <c r="D7" s="1">
        <f>7.9*C7/100</f>
        <v>3.16</v>
      </c>
      <c r="E7" s="1">
        <f>1*C7/100</f>
        <v>0.4</v>
      </c>
      <c r="F7" s="1">
        <f>48.3*C7/100</f>
        <v>19.32</v>
      </c>
      <c r="G7" s="1">
        <f>213.6*C7/100</f>
        <v>85.44</v>
      </c>
      <c r="H7" s="1">
        <f>0.2*C7/100</f>
        <v>0.08</v>
      </c>
      <c r="I7" s="1">
        <f>0*C7/100</f>
        <v>0</v>
      </c>
      <c r="J7" s="1">
        <f t="shared" ref="J7" si="0">0*C7/100</f>
        <v>0</v>
      </c>
      <c r="K7" s="1">
        <f>23*C7/100</f>
        <v>9.1999999999999993</v>
      </c>
      <c r="L7" s="1">
        <f>1.9*C7/100</f>
        <v>0.76</v>
      </c>
    </row>
    <row r="8" spans="1:12" x14ac:dyDescent="0.3">
      <c r="A8" s="1">
        <v>138</v>
      </c>
      <c r="B8" s="1" t="s">
        <v>16</v>
      </c>
      <c r="C8" s="1">
        <v>150</v>
      </c>
      <c r="D8" s="1">
        <f>1.56*C8/100</f>
        <v>2.34</v>
      </c>
      <c r="E8" s="1">
        <f>1.62*C8/100</f>
        <v>2.4300000000000002</v>
      </c>
      <c r="F8" s="1">
        <f>7.95*C8/100</f>
        <v>11.925000000000001</v>
      </c>
      <c r="G8" s="1">
        <f>54.34*C8/100</f>
        <v>81.510000000000005</v>
      </c>
      <c r="H8" s="1">
        <f>0.01*C8/100</f>
        <v>1.4999999999999999E-2</v>
      </c>
      <c r="I8" s="1">
        <f>0.07*C8/100</f>
        <v>0.10500000000000002</v>
      </c>
      <c r="J8" s="1">
        <f>0.33*C8/100</f>
        <v>0.495</v>
      </c>
      <c r="K8" s="1">
        <f>64.05*C8/100</f>
        <v>96.075000000000003</v>
      </c>
      <c r="L8" s="1">
        <f>0.32*C8/100</f>
        <v>0.48</v>
      </c>
    </row>
    <row r="9" spans="1:12" x14ac:dyDescent="0.3">
      <c r="A9" s="1"/>
      <c r="B9" s="1"/>
      <c r="C9" s="3">
        <f>SUM(C5:C8)</f>
        <v>320</v>
      </c>
      <c r="D9" s="3">
        <f>SUM(D5:D8)</f>
        <v>8.381333333333334</v>
      </c>
      <c r="E9" s="3">
        <f t="shared" ref="E9:L9" si="1">SUM(E5:E8)</f>
        <v>9.423</v>
      </c>
      <c r="F9" s="3">
        <f t="shared" si="1"/>
        <v>40.587666666666664</v>
      </c>
      <c r="G9" s="3">
        <f t="shared" si="1"/>
        <v>280.38</v>
      </c>
      <c r="H9" s="3">
        <f t="shared" si="1"/>
        <v>0.13500000000000001</v>
      </c>
      <c r="I9" s="3">
        <f t="shared" si="1"/>
        <v>0.11870000000000003</v>
      </c>
      <c r="J9" s="3">
        <f t="shared" si="1"/>
        <v>0.81699999999999995</v>
      </c>
      <c r="K9" s="3">
        <f t="shared" si="1"/>
        <v>163.48000000000002</v>
      </c>
      <c r="L9" s="3">
        <f t="shared" si="1"/>
        <v>1.639</v>
      </c>
    </row>
    <row r="10" spans="1:12" x14ac:dyDescent="0.3">
      <c r="A10" s="1" t="s">
        <v>19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>
        <v>134</v>
      </c>
      <c r="B11" s="1" t="s">
        <v>20</v>
      </c>
      <c r="C11" s="1">
        <v>120</v>
      </c>
      <c r="D11" s="1">
        <f>0.5*C11/100</f>
        <v>0.6</v>
      </c>
      <c r="E11" s="1">
        <f>0.1*C11/100</f>
        <v>0.12</v>
      </c>
      <c r="F11" s="1">
        <f>5.96*C11/100</f>
        <v>7.1520000000000001</v>
      </c>
      <c r="G11" s="1">
        <f>33*C11/100</f>
        <v>39.6</v>
      </c>
      <c r="H11" s="1">
        <f>0.01*C11/100</f>
        <v>1.2E-2</v>
      </c>
      <c r="I11" s="1">
        <f>0.01*C11/100</f>
        <v>1.2E-2</v>
      </c>
      <c r="J11" s="1">
        <f>2*C11/100</f>
        <v>2.4</v>
      </c>
      <c r="K11" s="1">
        <f>7*C11/100</f>
        <v>8.4</v>
      </c>
      <c r="L11" s="1">
        <f>1.4*C11/100</f>
        <v>1.68</v>
      </c>
    </row>
    <row r="12" spans="1:12" x14ac:dyDescent="0.3">
      <c r="A12" s="1" t="s">
        <v>17</v>
      </c>
      <c r="B12" s="1" t="s">
        <v>18</v>
      </c>
      <c r="C12" s="1">
        <v>15</v>
      </c>
      <c r="D12" s="1">
        <f>9.92*C12/100</f>
        <v>1.4880000000000002</v>
      </c>
      <c r="E12" s="1">
        <f>14.57*C12/100</f>
        <v>2.1855000000000002</v>
      </c>
      <c r="F12" s="1">
        <f>19.92*C12/100</f>
        <v>2.988</v>
      </c>
      <c r="G12" s="1">
        <f>203*C12/100</f>
        <v>30.45</v>
      </c>
      <c r="H12" s="1">
        <f>0.33*C12/100</f>
        <v>4.9500000000000002E-2</v>
      </c>
      <c r="I12" s="1">
        <f>0*C12/100</f>
        <v>0</v>
      </c>
      <c r="J12" s="1">
        <f>0*C12/100</f>
        <v>0</v>
      </c>
      <c r="K12" s="1">
        <f>186.67*C12/100</f>
        <v>28.000499999999999</v>
      </c>
      <c r="L12" s="1">
        <f>1.83*C12/100</f>
        <v>0.27450000000000002</v>
      </c>
    </row>
    <row r="13" spans="1:12" x14ac:dyDescent="0.3">
      <c r="A13" s="1"/>
      <c r="B13" s="1"/>
      <c r="C13" s="3">
        <f>SUM(C11:C12)</f>
        <v>135</v>
      </c>
      <c r="D13" s="3">
        <f>SUM(D11:D12)</f>
        <v>2.0880000000000001</v>
      </c>
      <c r="E13" s="3">
        <f t="shared" ref="E13:L13" si="2">SUM(E11:E12)</f>
        <v>2.3055000000000003</v>
      </c>
      <c r="F13" s="3">
        <f t="shared" si="2"/>
        <v>10.14</v>
      </c>
      <c r="G13" s="3">
        <f t="shared" si="2"/>
        <v>70.05</v>
      </c>
      <c r="H13" s="3">
        <f t="shared" si="2"/>
        <v>6.1499999999999999E-2</v>
      </c>
      <c r="I13" s="3">
        <f t="shared" si="2"/>
        <v>1.2E-2</v>
      </c>
      <c r="J13" s="3">
        <f t="shared" si="2"/>
        <v>2.4</v>
      </c>
      <c r="K13" s="3">
        <f t="shared" si="2"/>
        <v>36.400500000000001</v>
      </c>
      <c r="L13" s="3">
        <f t="shared" si="2"/>
        <v>1.9544999999999999</v>
      </c>
    </row>
    <row r="14" spans="1:12" x14ac:dyDescent="0.3">
      <c r="A14" s="1" t="s">
        <v>22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>
        <v>66</v>
      </c>
      <c r="B15" s="1" t="s">
        <v>52</v>
      </c>
      <c r="C15" s="1">
        <v>130</v>
      </c>
      <c r="D15" s="1">
        <f>1.13*C15/100</f>
        <v>1.4689999999999999</v>
      </c>
      <c r="E15" s="1">
        <f>1.73*C15/100</f>
        <v>2.2490000000000001</v>
      </c>
      <c r="F15" s="1">
        <f>18.27*C15/100</f>
        <v>23.750999999999998</v>
      </c>
      <c r="G15" s="1">
        <f>81.33*C15/100</f>
        <v>105.729</v>
      </c>
      <c r="H15" s="1">
        <f>0.01*C15/100</f>
        <v>1.3000000000000001E-2</v>
      </c>
      <c r="I15" s="1">
        <f>0.01*C15/100</f>
        <v>1.3000000000000001E-2</v>
      </c>
      <c r="J15" s="1">
        <f>0.24*C15/100</f>
        <v>0.312</v>
      </c>
      <c r="K15" s="1">
        <f>5.05*C15/100</f>
        <v>6.5650000000000004</v>
      </c>
      <c r="L15" s="1">
        <f>0.18*C15/100</f>
        <v>0.23399999999999999</v>
      </c>
    </row>
    <row r="16" spans="1:12" ht="21.6" x14ac:dyDescent="0.3">
      <c r="A16" s="1">
        <v>154</v>
      </c>
      <c r="B16" s="2" t="s">
        <v>91</v>
      </c>
      <c r="C16" s="1">
        <v>60</v>
      </c>
      <c r="D16" s="1">
        <f>15.99*C16/100</f>
        <v>9.5939999999999994</v>
      </c>
      <c r="E16" s="1">
        <f>6.41*C16/100</f>
        <v>3.8460000000000001</v>
      </c>
      <c r="F16" s="1">
        <f>9.06*C16/100</f>
        <v>5.4359999999999999</v>
      </c>
      <c r="G16" s="1">
        <f>95.5*C16/100</f>
        <v>57.3</v>
      </c>
      <c r="H16" s="1">
        <f>0.05*C16/100</f>
        <v>0.03</v>
      </c>
      <c r="I16" s="1">
        <f>0.08*C16/100</f>
        <v>4.8000000000000001E-2</v>
      </c>
      <c r="J16" s="1">
        <f>0.71*C16/100</f>
        <v>0.42599999999999993</v>
      </c>
      <c r="K16" s="1">
        <f>36.58*C16/100</f>
        <v>21.947999999999997</v>
      </c>
      <c r="L16" s="1">
        <f>0.8*C16/100</f>
        <v>0.48</v>
      </c>
    </row>
    <row r="17" spans="1:12" x14ac:dyDescent="0.3">
      <c r="A17" s="1">
        <v>302</v>
      </c>
      <c r="B17" s="1" t="s">
        <v>77</v>
      </c>
      <c r="C17" s="1">
        <v>60</v>
      </c>
      <c r="D17" s="1">
        <f>0.38*C17/100</f>
        <v>0.22800000000000001</v>
      </c>
      <c r="E17" s="1">
        <f>14.1*C17/100</f>
        <v>8.4600000000000009</v>
      </c>
      <c r="F17" s="1">
        <f>12.62*C17/100</f>
        <v>7.5719999999999992</v>
      </c>
      <c r="G17" s="1">
        <f>276.38*C17/100</f>
        <v>165.828</v>
      </c>
      <c r="H17" s="1">
        <f>0*C17/100</f>
        <v>0</v>
      </c>
      <c r="I17" s="1">
        <f>0.07*C17/100</f>
        <v>4.2000000000000003E-2</v>
      </c>
      <c r="J17" s="1">
        <f>0*C17/100</f>
        <v>0</v>
      </c>
      <c r="K17" s="1">
        <f>91.11*C17/100</f>
        <v>54.666000000000004</v>
      </c>
      <c r="L17" s="1">
        <f>0.8*C17/100</f>
        <v>0.48</v>
      </c>
    </row>
    <row r="18" spans="1:12" x14ac:dyDescent="0.3">
      <c r="A18" s="1" t="s">
        <v>17</v>
      </c>
      <c r="B18" s="1" t="s">
        <v>24</v>
      </c>
      <c r="C18" s="1">
        <v>40</v>
      </c>
      <c r="D18" s="1">
        <f>7.9*C18/100</f>
        <v>3.16</v>
      </c>
      <c r="E18" s="1">
        <f>1*C18/100</f>
        <v>0.4</v>
      </c>
      <c r="F18" s="1">
        <f>48.3*C18/100</f>
        <v>19.32</v>
      </c>
      <c r="G18" s="1">
        <f>213.6*C18/100</f>
        <v>85.44</v>
      </c>
      <c r="H18" s="1">
        <f>0.2*C18/100</f>
        <v>0.08</v>
      </c>
      <c r="I18" s="1">
        <f>0*C18/100</f>
        <v>0</v>
      </c>
      <c r="J18" s="1">
        <f t="shared" ref="J18" si="3">0*C18/100</f>
        <v>0</v>
      </c>
      <c r="K18" s="1">
        <f>23*C18/100</f>
        <v>9.1999999999999993</v>
      </c>
      <c r="L18" s="1">
        <f>1.9*C18/100</f>
        <v>0.76</v>
      </c>
    </row>
    <row r="19" spans="1:12" x14ac:dyDescent="0.3">
      <c r="A19" s="1">
        <v>122</v>
      </c>
      <c r="B19" s="1" t="s">
        <v>36</v>
      </c>
      <c r="C19" s="1">
        <v>140</v>
      </c>
      <c r="D19" s="1">
        <f>0*C19/100</f>
        <v>0</v>
      </c>
      <c r="E19" s="1">
        <f>0*C19/100</f>
        <v>0</v>
      </c>
      <c r="F19" s="1">
        <f>9.8*C19/100</f>
        <v>13.72</v>
      </c>
      <c r="G19" s="1">
        <f>40*C19/100</f>
        <v>56</v>
      </c>
      <c r="H19" s="1">
        <f>0.3*C19/100</f>
        <v>0.42</v>
      </c>
      <c r="I19" s="1">
        <f>0.3*C19/100</f>
        <v>0.42</v>
      </c>
      <c r="J19" s="1">
        <f>15*C19/100</f>
        <v>21</v>
      </c>
      <c r="K19" s="1">
        <f>4.5*C19/100</f>
        <v>6.3</v>
      </c>
      <c r="L19" s="1">
        <f>0*C19/100</f>
        <v>0</v>
      </c>
    </row>
    <row r="20" spans="1:12" ht="21.6" x14ac:dyDescent="0.3">
      <c r="A20" s="1">
        <v>73</v>
      </c>
      <c r="B20" s="2" t="s">
        <v>92</v>
      </c>
      <c r="C20" s="1">
        <v>30</v>
      </c>
      <c r="D20" s="1">
        <f>0.63*C20/100</f>
        <v>0.18899999999999997</v>
      </c>
      <c r="E20" s="1">
        <f>5.09*C20/100</f>
        <v>1.5269999999999999</v>
      </c>
      <c r="F20" s="1">
        <f>4.23*C20/100</f>
        <v>1.2690000000000001</v>
      </c>
      <c r="G20" s="1">
        <f>66*C20/100</f>
        <v>19.8</v>
      </c>
      <c r="H20" s="1">
        <f>0.003*C20/100</f>
        <v>8.9999999999999998E-4</v>
      </c>
      <c r="I20" s="1">
        <f>0.004*C20/100</f>
        <v>1.1999999999999999E-3</v>
      </c>
      <c r="J20" s="1">
        <f>20*C20/100</f>
        <v>6</v>
      </c>
      <c r="K20" s="1">
        <f>3.76*C20/100</f>
        <v>1.1279999999999999</v>
      </c>
      <c r="L20" s="1">
        <f>0.15*C20/100</f>
        <v>4.4999999999999998E-2</v>
      </c>
    </row>
    <row r="21" spans="1:12" x14ac:dyDescent="0.3">
      <c r="A21" s="1"/>
      <c r="B21" s="1"/>
      <c r="C21" s="3">
        <f>SUM(C15:C20)</f>
        <v>460</v>
      </c>
      <c r="D21" s="3">
        <f>SUM(D15:D20)</f>
        <v>14.639999999999999</v>
      </c>
      <c r="E21" s="3">
        <f t="shared" ref="E21:L21" si="4">SUM(E15:E20)</f>
        <v>16.482000000000003</v>
      </c>
      <c r="F21" s="3">
        <f t="shared" si="4"/>
        <v>71.068000000000012</v>
      </c>
      <c r="G21" s="3">
        <f t="shared" si="4"/>
        <v>490.09699999999998</v>
      </c>
      <c r="H21" s="3">
        <f t="shared" si="4"/>
        <v>0.54389999999999994</v>
      </c>
      <c r="I21" s="3">
        <f t="shared" si="4"/>
        <v>0.5242</v>
      </c>
      <c r="J21" s="3">
        <f t="shared" si="4"/>
        <v>27.738</v>
      </c>
      <c r="K21" s="3">
        <f t="shared" si="4"/>
        <v>99.807000000000002</v>
      </c>
      <c r="L21" s="3">
        <f t="shared" si="4"/>
        <v>1.9989999999999999</v>
      </c>
    </row>
    <row r="22" spans="1:12" x14ac:dyDescent="0.3">
      <c r="A22" s="1" t="s">
        <v>27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>
        <v>460</v>
      </c>
      <c r="B23" s="1" t="s">
        <v>67</v>
      </c>
      <c r="C23" s="1">
        <v>70</v>
      </c>
      <c r="D23" s="1">
        <f>5.08*C23/100</f>
        <v>3.556</v>
      </c>
      <c r="E23" s="1">
        <f>6.48*C23/100</f>
        <v>4.5360000000000005</v>
      </c>
      <c r="F23" s="1">
        <f>10.34*C23/100</f>
        <v>7.2379999999999995</v>
      </c>
      <c r="G23" s="1">
        <f>115*C23/100</f>
        <v>80.5</v>
      </c>
      <c r="H23" s="1">
        <f>0.12*C23/100</f>
        <v>8.4000000000000005E-2</v>
      </c>
      <c r="I23" s="1">
        <f>0.1*C23/100</f>
        <v>7.0000000000000007E-2</v>
      </c>
      <c r="J23" s="1">
        <f>0*C23/100</f>
        <v>0</v>
      </c>
      <c r="K23" s="1">
        <f>19.4*C23/100</f>
        <v>13.58</v>
      </c>
      <c r="L23" s="1">
        <f>1.28*C23/100</f>
        <v>0.89600000000000013</v>
      </c>
    </row>
    <row r="24" spans="1:12" x14ac:dyDescent="0.3">
      <c r="A24" s="1">
        <v>134</v>
      </c>
      <c r="B24" s="1" t="s">
        <v>20</v>
      </c>
      <c r="C24" s="1">
        <v>130</v>
      </c>
      <c r="D24" s="1">
        <f>0.5*C24/100</f>
        <v>0.65</v>
      </c>
      <c r="E24" s="1">
        <f>0.1*C24/100</f>
        <v>0.13</v>
      </c>
      <c r="F24" s="1">
        <f>10.1*C24/100</f>
        <v>13.13</v>
      </c>
      <c r="G24" s="1">
        <f>46*C24/100</f>
        <v>59.8</v>
      </c>
      <c r="H24" s="1">
        <f>0.01*C24/100</f>
        <v>1.3000000000000001E-2</v>
      </c>
      <c r="I24" s="1">
        <f>0.01*C24/100</f>
        <v>1.3000000000000001E-2</v>
      </c>
      <c r="J24" s="1">
        <f>2*C24/100</f>
        <v>2.6</v>
      </c>
      <c r="K24" s="1">
        <f>7*C24/100</f>
        <v>9.1</v>
      </c>
      <c r="L24" s="1">
        <f>1.4*C24/100</f>
        <v>1.82</v>
      </c>
    </row>
    <row r="25" spans="1:12" x14ac:dyDescent="0.3">
      <c r="A25" s="1"/>
      <c r="B25" s="1"/>
      <c r="C25" s="3">
        <f>SUM(C23:C24)</f>
        <v>200</v>
      </c>
      <c r="D25" s="3">
        <f>SUM(D23:D24)</f>
        <v>4.2060000000000004</v>
      </c>
      <c r="E25" s="3">
        <f t="shared" ref="E25:L25" si="5">SUM(E23:E24)</f>
        <v>4.6660000000000004</v>
      </c>
      <c r="F25" s="3">
        <f t="shared" si="5"/>
        <v>20.368000000000002</v>
      </c>
      <c r="G25" s="3">
        <f t="shared" si="5"/>
        <v>140.30000000000001</v>
      </c>
      <c r="H25" s="3">
        <f t="shared" si="5"/>
        <v>9.7000000000000003E-2</v>
      </c>
      <c r="I25" s="3">
        <f t="shared" si="5"/>
        <v>8.3000000000000004E-2</v>
      </c>
      <c r="J25" s="3">
        <f t="shared" si="5"/>
        <v>2.6</v>
      </c>
      <c r="K25" s="3">
        <f t="shared" si="5"/>
        <v>22.68</v>
      </c>
      <c r="L25" s="3">
        <f t="shared" si="5"/>
        <v>2.7160000000000002</v>
      </c>
    </row>
    <row r="26" spans="1:12" x14ac:dyDescent="0.3">
      <c r="A26" s="1" t="s">
        <v>29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3">
      <c r="A27" s="1" t="s">
        <v>17</v>
      </c>
      <c r="B27" s="1" t="s">
        <v>57</v>
      </c>
      <c r="C27" s="1">
        <v>85</v>
      </c>
      <c r="D27" s="1">
        <f>0.5*C27/100</f>
        <v>0.42499999999999999</v>
      </c>
      <c r="E27" s="1">
        <f>0*C27/100</f>
        <v>0</v>
      </c>
      <c r="F27" s="1">
        <f>8.1*C27/100</f>
        <v>6.8849999999999998</v>
      </c>
      <c r="G27" s="1">
        <f>45.65*C27/100</f>
        <v>38.802500000000002</v>
      </c>
      <c r="H27" s="1">
        <f>0.02*C27/100</f>
        <v>1.7000000000000001E-2</v>
      </c>
      <c r="I27" s="1">
        <f>0.04*C27/100</f>
        <v>3.4000000000000002E-2</v>
      </c>
      <c r="J27" s="1">
        <f>4*C27/100</f>
        <v>3.4</v>
      </c>
      <c r="K27" s="1">
        <f>12*C27/100</f>
        <v>10.199999999999999</v>
      </c>
      <c r="L27" s="1">
        <f>0.7*C27/100</f>
        <v>0.59499999999999997</v>
      </c>
    </row>
    <row r="28" spans="1:12" x14ac:dyDescent="0.3">
      <c r="A28" s="1" t="s">
        <v>17</v>
      </c>
      <c r="B28" s="1" t="s">
        <v>21</v>
      </c>
      <c r="C28" s="1">
        <v>15</v>
      </c>
      <c r="D28" s="1">
        <f>11.4*C28/100</f>
        <v>1.71</v>
      </c>
      <c r="E28" s="1">
        <f>15.12*C28/100</f>
        <v>2.2679999999999998</v>
      </c>
      <c r="F28" s="1">
        <f>21.75*C28/100</f>
        <v>3.2625000000000002</v>
      </c>
      <c r="G28" s="1">
        <f>208*C28/100</f>
        <v>31.2</v>
      </c>
      <c r="H28" s="1">
        <f>0.13*C28/100</f>
        <v>1.9500000000000003E-2</v>
      </c>
      <c r="I28" s="1">
        <f t="shared" ref="I28" si="6">0*C28/100</f>
        <v>0</v>
      </c>
      <c r="J28" s="1">
        <f t="shared" ref="J28" si="7">0*C28/100</f>
        <v>0</v>
      </c>
      <c r="K28" s="1">
        <f>20*C28/100</f>
        <v>3</v>
      </c>
      <c r="L28" s="1">
        <f>1.53*C28/100</f>
        <v>0.22949999999999998</v>
      </c>
    </row>
    <row r="29" spans="1:12" x14ac:dyDescent="0.3">
      <c r="A29" s="1"/>
      <c r="B29" s="1"/>
      <c r="C29" s="3">
        <f>SUM(C27:C28)</f>
        <v>100</v>
      </c>
      <c r="D29" s="3">
        <f>SUM(D27:D28)</f>
        <v>2.1349999999999998</v>
      </c>
      <c r="E29" s="3">
        <f t="shared" ref="E29:L29" si="8">SUM(E27:E28)</f>
        <v>2.2679999999999998</v>
      </c>
      <c r="F29" s="3">
        <f t="shared" si="8"/>
        <v>10.147500000000001</v>
      </c>
      <c r="G29" s="3">
        <f t="shared" si="8"/>
        <v>70.002499999999998</v>
      </c>
      <c r="H29" s="3">
        <f t="shared" si="8"/>
        <v>3.6500000000000005E-2</v>
      </c>
      <c r="I29" s="3">
        <f t="shared" si="8"/>
        <v>3.4000000000000002E-2</v>
      </c>
      <c r="J29" s="3">
        <f t="shared" si="8"/>
        <v>3.4</v>
      </c>
      <c r="K29" s="3">
        <f t="shared" si="8"/>
        <v>13.2</v>
      </c>
      <c r="L29" s="3">
        <f t="shared" si="8"/>
        <v>0.82450000000000001</v>
      </c>
    </row>
    <row r="30" spans="1:12" x14ac:dyDescent="0.3">
      <c r="A30" s="1"/>
      <c r="B30" s="3" t="s">
        <v>30</v>
      </c>
      <c r="C30" s="3"/>
      <c r="D30" s="3">
        <f>D9+D13+D21+D25+D29</f>
        <v>31.450333333333333</v>
      </c>
      <c r="E30" s="3">
        <f t="shared" ref="E30:L30" si="9">E9+E13+E21+E25+E29</f>
        <v>35.144500000000008</v>
      </c>
      <c r="F30" s="3">
        <f t="shared" si="9"/>
        <v>152.31116666666668</v>
      </c>
      <c r="G30" s="3">
        <f t="shared" si="9"/>
        <v>1050.8295000000001</v>
      </c>
      <c r="H30" s="3">
        <f t="shared" si="9"/>
        <v>0.8738999999999999</v>
      </c>
      <c r="I30" s="3">
        <f t="shared" si="9"/>
        <v>0.77190000000000003</v>
      </c>
      <c r="J30" s="3">
        <f t="shared" si="9"/>
        <v>36.954999999999998</v>
      </c>
      <c r="K30" s="3">
        <f t="shared" si="9"/>
        <v>335.5675</v>
      </c>
      <c r="L30" s="3">
        <f t="shared" si="9"/>
        <v>9.1329999999999991</v>
      </c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opLeftCell="A7" workbookViewId="0">
      <selection activeCell="O25" sqref="O25"/>
    </sheetView>
  </sheetViews>
  <sheetFormatPr defaultRowHeight="14.4" x14ac:dyDescent="0.3"/>
  <cols>
    <col min="1" max="1" width="4.44140625" customWidth="1"/>
    <col min="2" max="2" width="25.88671875" customWidth="1"/>
    <col min="3" max="3" width="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69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67</v>
      </c>
      <c r="B5" s="1" t="s">
        <v>40</v>
      </c>
      <c r="C5" s="1">
        <v>160</v>
      </c>
      <c r="D5" s="1">
        <f>1.86*C5/100</f>
        <v>2.9760000000000004</v>
      </c>
      <c r="E5" s="1">
        <f>1.62*C5/100</f>
        <v>2.5920000000000005</v>
      </c>
      <c r="F5" s="1">
        <f>7.25*C5/100</f>
        <v>11.6</v>
      </c>
      <c r="G5" s="1">
        <f>43.75*C5/100</f>
        <v>70</v>
      </c>
      <c r="H5" s="1">
        <f>0.14*C5/100</f>
        <v>0.22400000000000003</v>
      </c>
      <c r="I5" s="1">
        <f>0.07*C5/100</f>
        <v>0.11200000000000002</v>
      </c>
      <c r="J5" s="1">
        <f>0*C5/100</f>
        <v>0</v>
      </c>
      <c r="K5" s="1">
        <f>9.49*C5/100</f>
        <v>15.184000000000001</v>
      </c>
      <c r="L5" s="1">
        <f>3.03*C5/100</f>
        <v>4.8479999999999999</v>
      </c>
    </row>
    <row r="6" spans="1:12" x14ac:dyDescent="0.3">
      <c r="A6" s="1" t="s">
        <v>17</v>
      </c>
      <c r="B6" s="1" t="s">
        <v>24</v>
      </c>
      <c r="C6" s="1">
        <v>30</v>
      </c>
      <c r="D6" s="1">
        <f>7.9*C6/100</f>
        <v>2.37</v>
      </c>
      <c r="E6" s="1">
        <f>1*C6/100</f>
        <v>0.3</v>
      </c>
      <c r="F6" s="1">
        <f>28.3*C6/100</f>
        <v>8.49</v>
      </c>
      <c r="G6" s="1">
        <f>113.6*C6/100</f>
        <v>34.08</v>
      </c>
      <c r="H6" s="1">
        <f>0.2*C6/100</f>
        <v>0.06</v>
      </c>
      <c r="I6" s="1">
        <f>0*C6/100</f>
        <v>0</v>
      </c>
      <c r="J6" s="1">
        <f t="shared" ref="J6:J7" si="0">0*C6/100</f>
        <v>0</v>
      </c>
      <c r="K6" s="1">
        <f>23*C6/100</f>
        <v>6.9</v>
      </c>
      <c r="L6" s="1">
        <f>1.9*C6/100</f>
        <v>0.56999999999999995</v>
      </c>
    </row>
    <row r="7" spans="1:12" x14ac:dyDescent="0.3">
      <c r="A7" s="1">
        <v>138</v>
      </c>
      <c r="B7" s="1" t="s">
        <v>16</v>
      </c>
      <c r="C7" s="1">
        <v>160</v>
      </c>
      <c r="D7" s="1">
        <f>1.98*C7/100</f>
        <v>3.1680000000000001</v>
      </c>
      <c r="E7" s="1">
        <f>4.08*C7/100</f>
        <v>6.5279999999999996</v>
      </c>
      <c r="F7" s="1">
        <f>12.85*C7/100</f>
        <v>20.56</v>
      </c>
      <c r="G7" s="1">
        <f>110*C7/100</f>
        <v>176</v>
      </c>
      <c r="H7" s="1">
        <f>0.12*C7/100</f>
        <v>0.192</v>
      </c>
      <c r="I7" s="1">
        <f>0.08*C7/100</f>
        <v>0.128</v>
      </c>
      <c r="J7" s="1">
        <f t="shared" si="0"/>
        <v>0</v>
      </c>
      <c r="K7" s="1">
        <f>23.25*C7/100</f>
        <v>37.200000000000003</v>
      </c>
      <c r="L7" s="1">
        <f>1.55*C7/100</f>
        <v>2.48</v>
      </c>
    </row>
    <row r="8" spans="1:12" x14ac:dyDescent="0.3">
      <c r="A8" s="1"/>
      <c r="B8" s="1"/>
      <c r="C8" s="3">
        <f t="shared" ref="C8:L8" si="1">SUM(C5:C7)</f>
        <v>350</v>
      </c>
      <c r="D8" s="3">
        <f t="shared" si="1"/>
        <v>8.5139999999999993</v>
      </c>
      <c r="E8" s="3">
        <f t="shared" si="1"/>
        <v>9.42</v>
      </c>
      <c r="F8" s="3">
        <f t="shared" si="1"/>
        <v>40.65</v>
      </c>
      <c r="G8" s="3">
        <f t="shared" si="1"/>
        <v>280.08</v>
      </c>
      <c r="H8" s="3">
        <f t="shared" si="1"/>
        <v>0.47600000000000003</v>
      </c>
      <c r="I8" s="3">
        <f t="shared" si="1"/>
        <v>0.24000000000000002</v>
      </c>
      <c r="J8" s="3">
        <f t="shared" si="1"/>
        <v>0</v>
      </c>
      <c r="K8" s="3">
        <f t="shared" si="1"/>
        <v>59.284000000000006</v>
      </c>
      <c r="L8" s="3">
        <f t="shared" si="1"/>
        <v>7.8979999999999997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134</v>
      </c>
      <c r="B10" s="1" t="s">
        <v>20</v>
      </c>
      <c r="C10" s="1">
        <v>90</v>
      </c>
      <c r="D10" s="1">
        <f>0.5*C10/100</f>
        <v>0.45</v>
      </c>
      <c r="E10" s="1">
        <f>0.1*C10/100</f>
        <v>0.09</v>
      </c>
      <c r="F10" s="1">
        <f>7.99*C10/100</f>
        <v>7.1909999999999998</v>
      </c>
      <c r="G10" s="1">
        <f>46*C10/100</f>
        <v>41.4</v>
      </c>
      <c r="H10" s="1">
        <f>0.01*C10/100</f>
        <v>9.0000000000000011E-3</v>
      </c>
      <c r="I10" s="1">
        <f>0.01*C10/100</f>
        <v>9.0000000000000011E-3</v>
      </c>
      <c r="J10" s="1">
        <f>2*C10/100</f>
        <v>1.8</v>
      </c>
      <c r="K10" s="1">
        <f>7*C10/100</f>
        <v>6.3</v>
      </c>
      <c r="L10" s="1">
        <f>1.4*C10/100</f>
        <v>1.2599999999999998</v>
      </c>
    </row>
    <row r="11" spans="1:12" x14ac:dyDescent="0.3">
      <c r="A11" s="1">
        <v>17</v>
      </c>
      <c r="B11" s="1" t="s">
        <v>82</v>
      </c>
      <c r="C11" s="1">
        <v>40</v>
      </c>
      <c r="D11" s="1">
        <f>4.24*C11/100</f>
        <v>1.6960000000000002</v>
      </c>
      <c r="E11" s="1">
        <f>5.65*C11/100</f>
        <v>2.2599999999999998</v>
      </c>
      <c r="F11" s="1">
        <f>7.4*C11/100</f>
        <v>2.96</v>
      </c>
      <c r="G11" s="1">
        <f>72.97*C11/100</f>
        <v>29.188000000000002</v>
      </c>
      <c r="H11" s="1">
        <f>0.01*C11/100</f>
        <v>4.0000000000000001E-3</v>
      </c>
      <c r="I11" s="1">
        <f>0.03*C11/100</f>
        <v>1.2E-2</v>
      </c>
      <c r="J11" s="1">
        <f>9.36*C11/100</f>
        <v>3.7439999999999998</v>
      </c>
      <c r="K11" s="1">
        <f>15.2*C11/100</f>
        <v>6.08</v>
      </c>
      <c r="L11" s="1">
        <f>0.72*C11/100</f>
        <v>0.28799999999999998</v>
      </c>
    </row>
    <row r="12" spans="1:12" x14ac:dyDescent="0.3">
      <c r="A12" s="1"/>
      <c r="B12" s="1"/>
      <c r="C12" s="3">
        <f>SUM(C10:C11)</f>
        <v>130</v>
      </c>
      <c r="D12" s="3">
        <f>SUM(D10:D11)</f>
        <v>2.1460000000000004</v>
      </c>
      <c r="E12" s="3">
        <f t="shared" ref="E12:L12" si="2">SUM(E10:E11)</f>
        <v>2.3499999999999996</v>
      </c>
      <c r="F12" s="3">
        <f t="shared" si="2"/>
        <v>10.151</v>
      </c>
      <c r="G12" s="3">
        <f t="shared" si="2"/>
        <v>70.587999999999994</v>
      </c>
      <c r="H12" s="3">
        <f t="shared" si="2"/>
        <v>1.3000000000000001E-2</v>
      </c>
      <c r="I12" s="3">
        <f t="shared" si="2"/>
        <v>2.1000000000000001E-2</v>
      </c>
      <c r="J12" s="3">
        <f t="shared" si="2"/>
        <v>5.5439999999999996</v>
      </c>
      <c r="K12" s="3">
        <f t="shared" si="2"/>
        <v>12.379999999999999</v>
      </c>
      <c r="L12" s="3">
        <f t="shared" si="2"/>
        <v>1.5479999999999998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>
        <v>82</v>
      </c>
      <c r="B14" s="1" t="s">
        <v>81</v>
      </c>
      <c r="C14" s="1">
        <v>150</v>
      </c>
      <c r="D14" s="1">
        <f>1.73*C14/100</f>
        <v>2.5950000000000002</v>
      </c>
      <c r="E14" s="1">
        <f>2.02*C14/100</f>
        <v>3.03</v>
      </c>
      <c r="F14" s="1">
        <f>12.33*C14/100</f>
        <v>18.495000000000001</v>
      </c>
      <c r="G14" s="1">
        <f>76.9*C14/100</f>
        <v>115.35</v>
      </c>
      <c r="H14" s="1">
        <f>0*C14/100</f>
        <v>0</v>
      </c>
      <c r="I14" s="1">
        <f>0*C14/100</f>
        <v>0</v>
      </c>
      <c r="J14" s="1">
        <f>5.16*C14/100</f>
        <v>7.74</v>
      </c>
      <c r="K14" s="1">
        <f>34.36*C14/100</f>
        <v>51.54</v>
      </c>
      <c r="L14" s="1">
        <f>0.34*C14/100</f>
        <v>0.51000000000000012</v>
      </c>
    </row>
    <row r="15" spans="1:12" x14ac:dyDescent="0.3">
      <c r="A15" s="1">
        <v>269</v>
      </c>
      <c r="B15" s="1" t="s">
        <v>78</v>
      </c>
      <c r="C15" s="1">
        <v>50</v>
      </c>
      <c r="D15" s="1">
        <f>6.63*C15/100</f>
        <v>3.3149999999999999</v>
      </c>
      <c r="E15" s="1">
        <f>6.01*C15/100</f>
        <v>3.0049999999999999</v>
      </c>
      <c r="F15" s="1">
        <f>8.28*C15/100</f>
        <v>4.1399999999999997</v>
      </c>
      <c r="G15" s="1">
        <f>142.67*C15/100</f>
        <v>71.334999999999994</v>
      </c>
      <c r="H15" s="1">
        <f>0.07*C15/100</f>
        <v>3.5000000000000003E-2</v>
      </c>
      <c r="I15" s="1">
        <f>0.12*C15/100</f>
        <v>0.06</v>
      </c>
      <c r="J15" s="1">
        <f>0.38*C15/100</f>
        <v>0.19</v>
      </c>
      <c r="K15" s="1">
        <f>53.73*C15/100</f>
        <v>26.864999999999998</v>
      </c>
      <c r="L15" s="1">
        <f>0.72*C15/100</f>
        <v>0.36</v>
      </c>
    </row>
    <row r="16" spans="1:12" x14ac:dyDescent="0.3">
      <c r="A16" s="1">
        <v>205</v>
      </c>
      <c r="B16" s="1" t="s">
        <v>54</v>
      </c>
      <c r="C16" s="1">
        <v>60</v>
      </c>
      <c r="D16" s="1">
        <f>3.66*C16/100</f>
        <v>2.1960000000000002</v>
      </c>
      <c r="E16" s="1">
        <f>16.21*C16/100</f>
        <v>9.7260000000000009</v>
      </c>
      <c r="F16" s="1">
        <f>11.08*C16/100</f>
        <v>6.6479999999999997</v>
      </c>
      <c r="G16" s="1">
        <f>172.32*C16/100</f>
        <v>103.392</v>
      </c>
      <c r="H16" s="1">
        <f>0.04*C16/100</f>
        <v>2.4E-2</v>
      </c>
      <c r="I16" s="1">
        <f>0.02*C16/100</f>
        <v>1.2E-2</v>
      </c>
      <c r="J16" s="1">
        <f>0*C16/100</f>
        <v>0</v>
      </c>
      <c r="K16" s="1">
        <f>3.23*C16/100</f>
        <v>1.9380000000000002</v>
      </c>
      <c r="L16" s="1">
        <f>0.74*C16/100</f>
        <v>0.44400000000000001</v>
      </c>
    </row>
    <row r="17" spans="1:12" x14ac:dyDescent="0.3">
      <c r="A17" s="1" t="s">
        <v>17</v>
      </c>
      <c r="B17" s="1" t="s">
        <v>24</v>
      </c>
      <c r="C17" s="1">
        <v>30</v>
      </c>
      <c r="D17" s="1">
        <f>7.9*C17/100</f>
        <v>2.37</v>
      </c>
      <c r="E17" s="1">
        <f>1*C17/100</f>
        <v>0.3</v>
      </c>
      <c r="F17" s="1">
        <f>48.3*C17/100</f>
        <v>14.49</v>
      </c>
      <c r="G17" s="1">
        <f>213.6*C17/100</f>
        <v>64.08</v>
      </c>
      <c r="H17" s="1">
        <f>0.2*C17/100</f>
        <v>0.06</v>
      </c>
      <c r="I17" s="1">
        <f>0*C17/100</f>
        <v>0</v>
      </c>
      <c r="J17" s="1">
        <f t="shared" ref="J17:J18" si="3">0*C17/100</f>
        <v>0</v>
      </c>
      <c r="K17" s="1">
        <f>23*C17/100</f>
        <v>6.9</v>
      </c>
      <c r="L17" s="1">
        <f>1.9*C17/100</f>
        <v>0.56999999999999995</v>
      </c>
    </row>
    <row r="18" spans="1:12" x14ac:dyDescent="0.3">
      <c r="A18" s="1" t="s">
        <v>17</v>
      </c>
      <c r="B18" s="1" t="s">
        <v>25</v>
      </c>
      <c r="C18" s="1">
        <v>30</v>
      </c>
      <c r="D18" s="1">
        <f>13*C18/100</f>
        <v>3.9</v>
      </c>
      <c r="E18" s="1">
        <f>1.2*C18/100</f>
        <v>0.36</v>
      </c>
      <c r="F18" s="1">
        <f>53.1*C18/100</f>
        <v>15.93</v>
      </c>
      <c r="G18" s="1">
        <f>302.7*C18/100</f>
        <v>90.81</v>
      </c>
      <c r="H18" s="1">
        <f>0.8*C18/100</f>
        <v>0.24</v>
      </c>
      <c r="I18" s="1">
        <f>0.2*C18/100</f>
        <v>0.06</v>
      </c>
      <c r="J18" s="1">
        <f t="shared" si="3"/>
        <v>0</v>
      </c>
      <c r="K18" s="1">
        <f>115*C18/100</f>
        <v>34.5</v>
      </c>
      <c r="L18" s="1">
        <f>9.4*C18/100</f>
        <v>2.82</v>
      </c>
    </row>
    <row r="19" spans="1:12" x14ac:dyDescent="0.3">
      <c r="A19" s="1">
        <v>127</v>
      </c>
      <c r="B19" s="1" t="s">
        <v>26</v>
      </c>
      <c r="C19" s="1">
        <v>130</v>
      </c>
      <c r="D19" s="1">
        <f>0.3*C19/100</f>
        <v>0.39</v>
      </c>
      <c r="E19" s="1">
        <f>0.04*C19/100</f>
        <v>5.2000000000000005E-2</v>
      </c>
      <c r="F19" s="1">
        <f>8.71*C19/100</f>
        <v>11.323000000000002</v>
      </c>
      <c r="G19" s="1">
        <f>34.72*C19/100</f>
        <v>45.135999999999996</v>
      </c>
      <c r="H19" s="1">
        <f>0.003*C19/100</f>
        <v>3.9000000000000003E-3</v>
      </c>
      <c r="I19" s="1">
        <f>0.004*C19/100</f>
        <v>5.1999999999999998E-3</v>
      </c>
      <c r="J19" s="1">
        <f>20*C19/100</f>
        <v>26</v>
      </c>
      <c r="K19" s="1">
        <f>3.76*C19/100</f>
        <v>4.8879999999999999</v>
      </c>
      <c r="L19" s="1">
        <f>0.15*C19/100</f>
        <v>0.19500000000000001</v>
      </c>
    </row>
    <row r="20" spans="1:12" x14ac:dyDescent="0.3">
      <c r="A20" s="1"/>
      <c r="B20" s="1"/>
      <c r="C20" s="3">
        <f>SUM(C14:C19)</f>
        <v>450</v>
      </c>
      <c r="D20" s="3">
        <f>SUM(D14:D19)</f>
        <v>14.766</v>
      </c>
      <c r="E20" s="3">
        <f t="shared" ref="E20:L20" si="4">SUM(E14:E19)</f>
        <v>16.472999999999999</v>
      </c>
      <c r="F20" s="3">
        <f t="shared" si="4"/>
        <v>71.02600000000001</v>
      </c>
      <c r="G20" s="3">
        <f t="shared" si="4"/>
        <v>490.10299999999995</v>
      </c>
      <c r="H20" s="3">
        <f t="shared" si="4"/>
        <v>0.3629</v>
      </c>
      <c r="I20" s="3">
        <f t="shared" si="4"/>
        <v>0.13720000000000002</v>
      </c>
      <c r="J20" s="3">
        <f t="shared" si="4"/>
        <v>33.93</v>
      </c>
      <c r="K20" s="3">
        <f t="shared" si="4"/>
        <v>126.63100000000001</v>
      </c>
      <c r="L20" s="3">
        <f t="shared" si="4"/>
        <v>4.899</v>
      </c>
    </row>
    <row r="21" spans="1:12" x14ac:dyDescent="0.3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>
        <v>459</v>
      </c>
      <c r="B22" s="1" t="s">
        <v>70</v>
      </c>
      <c r="C22" s="1">
        <v>70</v>
      </c>
      <c r="D22" s="1">
        <f>3.18*C22/100</f>
        <v>2.2260000000000004</v>
      </c>
      <c r="E22" s="1">
        <f>3.82*C22/100</f>
        <v>2.6739999999999999</v>
      </c>
      <c r="F22" s="1">
        <f>12.62*C22/100</f>
        <v>8.8339999999999996</v>
      </c>
      <c r="G22" s="1">
        <f>99*C22/100</f>
        <v>69.3</v>
      </c>
      <c r="H22" s="1">
        <f>0.11*C22/100</f>
        <v>7.6999999999999999E-2</v>
      </c>
      <c r="I22" s="1">
        <f>0.7*C22/100</f>
        <v>0.49</v>
      </c>
      <c r="J22" s="1">
        <f>0.08*C22/100</f>
        <v>5.6000000000000008E-2</v>
      </c>
      <c r="K22" s="1">
        <f>19.5*C22/100</f>
        <v>13.65</v>
      </c>
      <c r="L22" s="1">
        <f>1.39*C22/100</f>
        <v>0.97299999999999998</v>
      </c>
    </row>
    <row r="23" spans="1:12" x14ac:dyDescent="0.3">
      <c r="A23" s="1">
        <v>138</v>
      </c>
      <c r="B23" s="1" t="s">
        <v>16</v>
      </c>
      <c r="C23" s="1">
        <v>130</v>
      </c>
      <c r="D23" s="1">
        <f>1.56*C23/100</f>
        <v>2.028</v>
      </c>
      <c r="E23" s="1">
        <f>1.62*C23/100</f>
        <v>2.1060000000000003</v>
      </c>
      <c r="F23" s="1">
        <f>8.85*C23/100</f>
        <v>11.505000000000001</v>
      </c>
      <c r="G23" s="1">
        <f>54.04*C23/100</f>
        <v>70.251999999999995</v>
      </c>
      <c r="H23" s="1">
        <f>0.01*C23/100</f>
        <v>1.3000000000000001E-2</v>
      </c>
      <c r="I23" s="1">
        <f>0.07*C23/100</f>
        <v>9.1000000000000011E-2</v>
      </c>
      <c r="J23" s="1">
        <f>0.33*C23/100</f>
        <v>0.42899999999999999</v>
      </c>
      <c r="K23" s="1">
        <f>64.05*C23/100</f>
        <v>83.265000000000001</v>
      </c>
      <c r="L23" s="1">
        <f>0.32*C23/100</f>
        <v>0.41600000000000004</v>
      </c>
    </row>
    <row r="24" spans="1:12" x14ac:dyDescent="0.3">
      <c r="A24" s="1"/>
      <c r="B24" s="1"/>
      <c r="C24" s="3">
        <f>SUM(C22:C23)</f>
        <v>200</v>
      </c>
      <c r="D24" s="3">
        <f>SUM(D22:D23)</f>
        <v>4.2540000000000004</v>
      </c>
      <c r="E24" s="3">
        <f t="shared" ref="E24:L24" si="5">SUM(E22:E23)</f>
        <v>4.78</v>
      </c>
      <c r="F24" s="3">
        <f t="shared" si="5"/>
        <v>20.338999999999999</v>
      </c>
      <c r="G24" s="3">
        <f t="shared" si="5"/>
        <v>139.55199999999999</v>
      </c>
      <c r="H24" s="3">
        <f t="shared" si="5"/>
        <v>0.09</v>
      </c>
      <c r="I24" s="3">
        <f t="shared" si="5"/>
        <v>0.58099999999999996</v>
      </c>
      <c r="J24" s="3">
        <f t="shared" si="5"/>
        <v>0.48499999999999999</v>
      </c>
      <c r="K24" s="3">
        <f t="shared" si="5"/>
        <v>96.915000000000006</v>
      </c>
      <c r="L24" s="3">
        <f t="shared" si="5"/>
        <v>1.389</v>
      </c>
    </row>
    <row r="25" spans="1:12" x14ac:dyDescent="0.3">
      <c r="A25" s="1" t="s">
        <v>29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3">
      <c r="A26" s="1">
        <v>134</v>
      </c>
      <c r="B26" s="1" t="s">
        <v>20</v>
      </c>
      <c r="C26" s="1">
        <v>70</v>
      </c>
      <c r="D26" s="1">
        <f>0.5*C26/100</f>
        <v>0.35</v>
      </c>
      <c r="E26" s="1">
        <f>0.1*C26/100</f>
        <v>7.0000000000000007E-2</v>
      </c>
      <c r="F26" s="1">
        <f>10.1*C26/100</f>
        <v>7.07</v>
      </c>
      <c r="G26" s="1">
        <f>46*C26/100</f>
        <v>32.200000000000003</v>
      </c>
      <c r="H26" s="1">
        <f>0.01*C26/100</f>
        <v>7.000000000000001E-3</v>
      </c>
      <c r="I26" s="1">
        <f>0.01*C26/100</f>
        <v>7.000000000000001E-3</v>
      </c>
      <c r="J26" s="1">
        <f>2*C26/100</f>
        <v>1.4</v>
      </c>
      <c r="K26" s="1">
        <f>7*C26/100</f>
        <v>4.9000000000000004</v>
      </c>
      <c r="L26" s="1">
        <f>1.4*C26/100</f>
        <v>0.98</v>
      </c>
    </row>
    <row r="27" spans="1:12" x14ac:dyDescent="0.3">
      <c r="A27" s="1">
        <v>31</v>
      </c>
      <c r="B27" s="1" t="s">
        <v>83</v>
      </c>
      <c r="C27" s="1">
        <v>45</v>
      </c>
      <c r="D27" s="1">
        <f>3.97*C27/100</f>
        <v>1.7865</v>
      </c>
      <c r="E27" s="1">
        <f>5.06*C27/100</f>
        <v>2.2769999999999997</v>
      </c>
      <c r="F27" s="1">
        <f>7*C27/100</f>
        <v>3.15</v>
      </c>
      <c r="G27" s="1">
        <f>84.05*C27/100</f>
        <v>37.822499999999998</v>
      </c>
      <c r="H27" s="1">
        <f>0.13*C27/100</f>
        <v>5.8500000000000003E-2</v>
      </c>
      <c r="I27" s="1">
        <f t="shared" ref="I27" si="6">0*C27/100</f>
        <v>0</v>
      </c>
      <c r="J27" s="1">
        <f t="shared" ref="J27" si="7">0*C27/100</f>
        <v>0</v>
      </c>
      <c r="K27" s="1">
        <f>20*C27/100</f>
        <v>9</v>
      </c>
      <c r="L27" s="1">
        <f>1.53*C27/100</f>
        <v>0.68849999999999989</v>
      </c>
    </row>
    <row r="28" spans="1:12" x14ac:dyDescent="0.3">
      <c r="A28" s="1"/>
      <c r="B28" s="1"/>
      <c r="C28" s="3">
        <f>SUM(C26:C27)</f>
        <v>115</v>
      </c>
      <c r="D28" s="3">
        <f>SUM(D26:D27)</f>
        <v>2.1364999999999998</v>
      </c>
      <c r="E28" s="3">
        <f t="shared" ref="E28:L28" si="8">SUM(E26:E27)</f>
        <v>2.3469999999999995</v>
      </c>
      <c r="F28" s="3">
        <f t="shared" si="8"/>
        <v>10.220000000000001</v>
      </c>
      <c r="G28" s="3">
        <f t="shared" si="8"/>
        <v>70.022500000000008</v>
      </c>
      <c r="H28" s="3">
        <f t="shared" si="8"/>
        <v>6.5500000000000003E-2</v>
      </c>
      <c r="I28" s="3">
        <f t="shared" si="8"/>
        <v>7.000000000000001E-3</v>
      </c>
      <c r="J28" s="3">
        <f t="shared" si="8"/>
        <v>1.4</v>
      </c>
      <c r="K28" s="3">
        <f t="shared" si="8"/>
        <v>13.9</v>
      </c>
      <c r="L28" s="3">
        <f t="shared" si="8"/>
        <v>1.6684999999999999</v>
      </c>
    </row>
    <row r="29" spans="1:12" x14ac:dyDescent="0.3">
      <c r="A29" s="1"/>
      <c r="B29" s="3" t="s">
        <v>30</v>
      </c>
      <c r="C29" s="3"/>
      <c r="D29" s="3">
        <f>D8+D12+D20+D24+D28</f>
        <v>31.816500000000005</v>
      </c>
      <c r="E29" s="3">
        <f t="shared" ref="E29:L29" si="9">E8+E12+E20+E24+E28</f>
        <v>35.369999999999997</v>
      </c>
      <c r="F29" s="3">
        <f t="shared" si="9"/>
        <v>152.386</v>
      </c>
      <c r="G29" s="3">
        <f t="shared" si="9"/>
        <v>1050.3454999999999</v>
      </c>
      <c r="H29" s="3">
        <f t="shared" si="9"/>
        <v>1.0074000000000001</v>
      </c>
      <c r="I29" s="3">
        <f t="shared" si="9"/>
        <v>0.98619999999999997</v>
      </c>
      <c r="J29" s="3">
        <f t="shared" si="9"/>
        <v>41.358999999999995</v>
      </c>
      <c r="K29" s="3">
        <f t="shared" si="9"/>
        <v>309.11</v>
      </c>
      <c r="L29" s="3">
        <f t="shared" si="9"/>
        <v>17.402499999999996</v>
      </c>
    </row>
  </sheetData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7" workbookViewId="0">
      <selection activeCell="N27" sqref="N27"/>
    </sheetView>
  </sheetViews>
  <sheetFormatPr defaultRowHeight="14.4" x14ac:dyDescent="0.3"/>
  <cols>
    <col min="1" max="1" width="4.6640625" customWidth="1"/>
    <col min="2" max="2" width="22.109375" customWidth="1"/>
    <col min="3" max="3" width="5" customWidth="1"/>
  </cols>
  <sheetData>
    <row r="1" spans="1:12" x14ac:dyDescent="0.3">
      <c r="A1" s="3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 t="s">
        <v>0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1</v>
      </c>
      <c r="H2" s="1" t="s">
        <v>10</v>
      </c>
      <c r="I2" s="1" t="s">
        <v>11</v>
      </c>
      <c r="J2" s="1" t="s">
        <v>7</v>
      </c>
      <c r="K2" s="1" t="s">
        <v>8</v>
      </c>
      <c r="L2" s="1" t="s">
        <v>9</v>
      </c>
    </row>
    <row r="3" spans="1:12" x14ac:dyDescent="0.3">
      <c r="A3" s="1" t="s">
        <v>71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>
        <v>309</v>
      </c>
      <c r="B5" s="1" t="s">
        <v>14</v>
      </c>
      <c r="C5" s="1">
        <v>150</v>
      </c>
      <c r="D5" s="1">
        <f>2.27*C5/100</f>
        <v>3.4049999999999998</v>
      </c>
      <c r="E5" s="1">
        <f>0.22*C5/100</f>
        <v>0.33</v>
      </c>
      <c r="F5" s="1">
        <f>0.07*C5/100</f>
        <v>0.10500000000000002</v>
      </c>
      <c r="G5" s="1">
        <f>72.09*C5/100</f>
        <v>108.13500000000001</v>
      </c>
      <c r="H5" s="1">
        <f>0.023*C5/100</f>
        <v>3.4499999999999996E-2</v>
      </c>
      <c r="I5" s="1">
        <f>0.01*C5/100</f>
        <v>1.4999999999999999E-2</v>
      </c>
      <c r="J5" s="1">
        <f>0*C5/100</f>
        <v>0</v>
      </c>
      <c r="K5" s="1">
        <f>4.4*C5/100</f>
        <v>6.6</v>
      </c>
      <c r="L5" s="1">
        <f>0.22*C5/100</f>
        <v>0.33</v>
      </c>
    </row>
    <row r="6" spans="1:12" x14ac:dyDescent="0.3">
      <c r="A6" s="1">
        <v>1</v>
      </c>
      <c r="B6" s="1" t="s">
        <v>15</v>
      </c>
      <c r="C6" s="1">
        <v>30</v>
      </c>
      <c r="D6" s="1">
        <f>8.22*C6/100</f>
        <v>2.4660000000000002</v>
      </c>
      <c r="E6" s="1">
        <f>19.88*C6/100</f>
        <v>5.9639999999999995</v>
      </c>
      <c r="F6" s="1">
        <f>36.55*C6/100</f>
        <v>10.965</v>
      </c>
      <c r="G6" s="1">
        <f>340*C6/100</f>
        <v>102</v>
      </c>
      <c r="H6" s="1">
        <f>0.12*C6/100</f>
        <v>3.5999999999999997E-2</v>
      </c>
      <c r="I6" s="1">
        <f>0.08*C6/100</f>
        <v>2.4E-2</v>
      </c>
      <c r="J6" s="1">
        <f t="shared" ref="J6" si="0">0*C6/100</f>
        <v>0</v>
      </c>
      <c r="K6" s="1">
        <f>23.25*C6/100</f>
        <v>6.9749999999999996</v>
      </c>
      <c r="L6" s="1">
        <f>1.55*C6/100</f>
        <v>0.46500000000000002</v>
      </c>
    </row>
    <row r="7" spans="1:12" x14ac:dyDescent="0.3">
      <c r="A7" s="1">
        <v>138</v>
      </c>
      <c r="B7" s="1" t="s">
        <v>16</v>
      </c>
      <c r="C7" s="1">
        <v>170</v>
      </c>
      <c r="D7" s="1">
        <f>1.46*C7/100</f>
        <v>2.4819999999999998</v>
      </c>
      <c r="E7" s="1">
        <f>1.86*C7/100</f>
        <v>3.1619999999999999</v>
      </c>
      <c r="F7" s="1">
        <f>17.39*C7/100</f>
        <v>29.563000000000002</v>
      </c>
      <c r="G7" s="1">
        <f>40.94*C7/100</f>
        <v>69.597999999999999</v>
      </c>
      <c r="H7" s="1">
        <f>0.01*C7/100</f>
        <v>1.7000000000000001E-2</v>
      </c>
      <c r="I7" s="1">
        <f>0.07*C7/100</f>
        <v>0.11900000000000001</v>
      </c>
      <c r="J7" s="1">
        <f>0.33*C7/100</f>
        <v>0.56100000000000005</v>
      </c>
      <c r="K7" s="1">
        <f>64.05*C7/100</f>
        <v>108.88500000000001</v>
      </c>
      <c r="L7" s="1">
        <f>0.32*C7/100</f>
        <v>0.54400000000000004</v>
      </c>
    </row>
    <row r="8" spans="1:12" x14ac:dyDescent="0.3">
      <c r="A8" s="1"/>
      <c r="B8" s="1"/>
      <c r="C8" s="3">
        <f t="shared" ref="C8:L8" si="1">SUM(C5:C7)</f>
        <v>350</v>
      </c>
      <c r="D8" s="3">
        <f t="shared" si="1"/>
        <v>8.3529999999999998</v>
      </c>
      <c r="E8" s="3">
        <f t="shared" si="1"/>
        <v>9.4559999999999995</v>
      </c>
      <c r="F8" s="3">
        <f t="shared" si="1"/>
        <v>40.633000000000003</v>
      </c>
      <c r="G8" s="3">
        <f t="shared" si="1"/>
        <v>279.733</v>
      </c>
      <c r="H8" s="3">
        <f t="shared" si="1"/>
        <v>8.7499999999999994E-2</v>
      </c>
      <c r="I8" s="3">
        <f t="shared" si="1"/>
        <v>0.158</v>
      </c>
      <c r="J8" s="3">
        <f t="shared" si="1"/>
        <v>0.56100000000000005</v>
      </c>
      <c r="K8" s="3">
        <f t="shared" si="1"/>
        <v>122.46000000000001</v>
      </c>
      <c r="L8" s="3">
        <f t="shared" si="1"/>
        <v>1.339</v>
      </c>
    </row>
    <row r="9" spans="1:12" x14ac:dyDescent="0.3">
      <c r="A9" s="1" t="s">
        <v>19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>
        <v>134</v>
      </c>
      <c r="B10" s="1" t="s">
        <v>20</v>
      </c>
      <c r="C10" s="1">
        <v>90</v>
      </c>
      <c r="D10" s="1">
        <f>0.5*C10/100</f>
        <v>0.45</v>
      </c>
      <c r="E10" s="1">
        <f>0.1*C10/100</f>
        <v>0.09</v>
      </c>
      <c r="F10" s="1">
        <f>7.99*C10/100</f>
        <v>7.1909999999999998</v>
      </c>
      <c r="G10" s="1">
        <f>46*C10/100</f>
        <v>41.4</v>
      </c>
      <c r="H10" s="1">
        <f>0.01*C10/100</f>
        <v>9.0000000000000011E-3</v>
      </c>
      <c r="I10" s="1">
        <f>0.01*C10/100</f>
        <v>9.0000000000000011E-3</v>
      </c>
      <c r="J10" s="1">
        <f>2*C10/100</f>
        <v>1.8</v>
      </c>
      <c r="K10" s="1">
        <f>7*C10/100</f>
        <v>6.3</v>
      </c>
      <c r="L10" s="1">
        <f>1.4*C10/100</f>
        <v>1.2599999999999998</v>
      </c>
    </row>
    <row r="11" spans="1:12" x14ac:dyDescent="0.3">
      <c r="A11" s="1">
        <v>17</v>
      </c>
      <c r="B11" s="1" t="s">
        <v>82</v>
      </c>
      <c r="C11" s="1">
        <v>40</v>
      </c>
      <c r="D11" s="1">
        <f>4.24*C11/100</f>
        <v>1.6960000000000002</v>
      </c>
      <c r="E11" s="1">
        <f>5.65*C11/100</f>
        <v>2.2599999999999998</v>
      </c>
      <c r="F11" s="1">
        <f>7.4*C11/100</f>
        <v>2.96</v>
      </c>
      <c r="G11" s="1">
        <f>72.97*C11/100</f>
        <v>29.188000000000002</v>
      </c>
      <c r="H11" s="1">
        <f>0.01*C11/100</f>
        <v>4.0000000000000001E-3</v>
      </c>
      <c r="I11" s="1">
        <f>0.03*C11/100</f>
        <v>1.2E-2</v>
      </c>
      <c r="J11" s="1">
        <f>9.36*C11/100</f>
        <v>3.7439999999999998</v>
      </c>
      <c r="K11" s="1">
        <f>15.2*C11/100</f>
        <v>6.08</v>
      </c>
      <c r="L11" s="1">
        <f>0.72*C11/100</f>
        <v>0.28799999999999998</v>
      </c>
    </row>
    <row r="12" spans="1:12" x14ac:dyDescent="0.3">
      <c r="A12" s="1"/>
      <c r="B12" s="1"/>
      <c r="C12" s="3">
        <f>SUM(C10:C11)</f>
        <v>130</v>
      </c>
      <c r="D12" s="3">
        <f>SUM(D10:D11)</f>
        <v>2.1460000000000004</v>
      </c>
      <c r="E12" s="3">
        <f t="shared" ref="E12:L12" si="2">SUM(E10:E11)</f>
        <v>2.3499999999999996</v>
      </c>
      <c r="F12" s="3">
        <f t="shared" si="2"/>
        <v>10.151</v>
      </c>
      <c r="G12" s="3">
        <f t="shared" si="2"/>
        <v>70.587999999999994</v>
      </c>
      <c r="H12" s="3">
        <f t="shared" si="2"/>
        <v>1.3000000000000001E-2</v>
      </c>
      <c r="I12" s="3">
        <f t="shared" si="2"/>
        <v>2.1000000000000001E-2</v>
      </c>
      <c r="J12" s="3">
        <f t="shared" si="2"/>
        <v>5.5439999999999996</v>
      </c>
      <c r="K12" s="3">
        <f t="shared" si="2"/>
        <v>12.379999999999999</v>
      </c>
      <c r="L12" s="3">
        <f t="shared" si="2"/>
        <v>1.5479999999999998</v>
      </c>
    </row>
    <row r="13" spans="1:12" x14ac:dyDescent="0.3">
      <c r="A13" s="1" t="s">
        <v>22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>
        <v>36</v>
      </c>
      <c r="B14" s="1" t="s">
        <v>50</v>
      </c>
      <c r="C14" s="1">
        <v>150</v>
      </c>
      <c r="D14" s="1">
        <f>1.74*C14/100</f>
        <v>2.61</v>
      </c>
      <c r="E14" s="1">
        <f>0.27*C14/100</f>
        <v>0.40500000000000003</v>
      </c>
      <c r="F14" s="1">
        <f>7.26*C14/100</f>
        <v>10.89</v>
      </c>
      <c r="G14" s="1">
        <f>42.82*C14/100</f>
        <v>64.23</v>
      </c>
      <c r="H14" s="1">
        <f>0.04*C14/100</f>
        <v>0.06</v>
      </c>
      <c r="I14" s="1">
        <f>0.04*C14/100</f>
        <v>0.06</v>
      </c>
      <c r="J14" s="1">
        <f>1.48*C14/100</f>
        <v>2.2200000000000002</v>
      </c>
      <c r="K14" s="1">
        <f>11.79*C14/100</f>
        <v>17.684999999999999</v>
      </c>
      <c r="L14" s="1">
        <f>0.29*C14/100</f>
        <v>0.435</v>
      </c>
    </row>
    <row r="15" spans="1:12" x14ac:dyDescent="0.3">
      <c r="A15" s="1">
        <v>69</v>
      </c>
      <c r="B15" s="1" t="s">
        <v>93</v>
      </c>
      <c r="C15" s="1">
        <v>75</v>
      </c>
      <c r="D15" s="1">
        <f>11.2*C15/100</f>
        <v>8.4</v>
      </c>
      <c r="E15" s="1">
        <f>20.93*C15/100</f>
        <v>15.6975</v>
      </c>
      <c r="F15" s="1">
        <f>28.54*C15/100</f>
        <v>21.405000000000001</v>
      </c>
      <c r="G15" s="1">
        <f>346.03*C15/100</f>
        <v>259.52249999999998</v>
      </c>
      <c r="H15" s="1">
        <f>0.05*C15/100</f>
        <v>3.7499999999999999E-2</v>
      </c>
      <c r="I15" s="1">
        <f>0.08*C15/100</f>
        <v>0.06</v>
      </c>
      <c r="J15" s="1">
        <f>0.71*C15/100</f>
        <v>0.53249999999999997</v>
      </c>
      <c r="K15" s="1">
        <f>36.58*C15/100</f>
        <v>27.434999999999999</v>
      </c>
      <c r="L15" s="1">
        <f>0.8*C15/100</f>
        <v>0.6</v>
      </c>
    </row>
    <row r="16" spans="1:12" x14ac:dyDescent="0.3">
      <c r="A16" s="1" t="s">
        <v>17</v>
      </c>
      <c r="B16" s="1" t="s">
        <v>24</v>
      </c>
      <c r="C16" s="1">
        <v>35</v>
      </c>
      <c r="D16" s="1">
        <f>5.9*C16/100</f>
        <v>2.0649999999999999</v>
      </c>
      <c r="E16" s="1">
        <f>1*C16/100</f>
        <v>0.35</v>
      </c>
      <c r="F16" s="1">
        <f>48.1*C16/100</f>
        <v>16.835000000000001</v>
      </c>
      <c r="G16" s="1">
        <f>213.6*C16/100</f>
        <v>74.760000000000005</v>
      </c>
      <c r="H16" s="1">
        <f>0.2*C16/100</f>
        <v>7.0000000000000007E-2</v>
      </c>
      <c r="I16" s="1">
        <f>0*C16/100</f>
        <v>0</v>
      </c>
      <c r="J16" s="1">
        <f t="shared" ref="J16" si="3">0*C16/100</f>
        <v>0</v>
      </c>
      <c r="K16" s="1">
        <f>23*C16/100</f>
        <v>8.0500000000000007</v>
      </c>
      <c r="L16" s="1">
        <f>1.9*C16/100</f>
        <v>0.66500000000000004</v>
      </c>
    </row>
    <row r="17" spans="1:12" x14ac:dyDescent="0.3">
      <c r="A17" s="1" t="s">
        <v>17</v>
      </c>
      <c r="B17" s="1" t="s">
        <v>60</v>
      </c>
      <c r="C17" s="1">
        <v>30</v>
      </c>
      <c r="D17" s="1">
        <f>2.8*C17/100</f>
        <v>0.84</v>
      </c>
      <c r="E17" s="1">
        <f>0*C17/100</f>
        <v>0</v>
      </c>
      <c r="F17" s="1">
        <f>1.3*C17/100</f>
        <v>0.39</v>
      </c>
      <c r="G17" s="1">
        <f>19*C17/100</f>
        <v>5.7</v>
      </c>
      <c r="H17" s="1">
        <f>0*C17/100</f>
        <v>0</v>
      </c>
      <c r="I17" s="1">
        <f>0*C17/100</f>
        <v>0</v>
      </c>
      <c r="J17" s="1">
        <f>0*C17/100</f>
        <v>0</v>
      </c>
      <c r="K17" s="1">
        <f>25*C17/100</f>
        <v>7.5</v>
      </c>
      <c r="L17" s="1">
        <f>1.2*C17/100</f>
        <v>0.36</v>
      </c>
    </row>
    <row r="18" spans="1:12" x14ac:dyDescent="0.3">
      <c r="A18" s="1">
        <v>126</v>
      </c>
      <c r="B18" s="1" t="s">
        <v>46</v>
      </c>
      <c r="C18" s="1">
        <v>160</v>
      </c>
      <c r="D18" s="1">
        <f>0.52*C18/100</f>
        <v>0.83200000000000007</v>
      </c>
      <c r="E18" s="1">
        <f>0*C18/100</f>
        <v>0</v>
      </c>
      <c r="F18" s="1">
        <f>13.48*C18/100</f>
        <v>21.568000000000001</v>
      </c>
      <c r="G18" s="1">
        <f>53.72*C18/100</f>
        <v>85.952000000000012</v>
      </c>
      <c r="H18" s="1">
        <f>0.01*C18/100</f>
        <v>1.6E-2</v>
      </c>
      <c r="I18" s="1">
        <f>0.02*C18/100</f>
        <v>3.2000000000000001E-2</v>
      </c>
      <c r="J18" s="1">
        <f>0.4*C18/100</f>
        <v>0.64</v>
      </c>
      <c r="K18" s="1">
        <f>20.57*C18/100</f>
        <v>32.911999999999999</v>
      </c>
      <c r="L18" s="1">
        <f>0.34*C18/100</f>
        <v>0.54400000000000004</v>
      </c>
    </row>
    <row r="19" spans="1:12" x14ac:dyDescent="0.3">
      <c r="A19" s="1"/>
      <c r="B19" s="1"/>
      <c r="C19" s="3">
        <f t="shared" ref="C19:L19" si="4">SUM(C14:C18)</f>
        <v>450</v>
      </c>
      <c r="D19" s="3">
        <f t="shared" si="4"/>
        <v>14.747</v>
      </c>
      <c r="E19" s="3">
        <f t="shared" si="4"/>
        <v>16.452500000000001</v>
      </c>
      <c r="F19" s="3">
        <f t="shared" si="4"/>
        <v>71.088000000000008</v>
      </c>
      <c r="G19" s="3">
        <f t="shared" si="4"/>
        <v>490.16449999999998</v>
      </c>
      <c r="H19" s="3">
        <f t="shared" si="4"/>
        <v>0.1835</v>
      </c>
      <c r="I19" s="3">
        <f t="shared" si="4"/>
        <v>0.152</v>
      </c>
      <c r="J19" s="3">
        <f t="shared" si="4"/>
        <v>3.3925000000000005</v>
      </c>
      <c r="K19" s="3">
        <f t="shared" si="4"/>
        <v>93.581999999999994</v>
      </c>
      <c r="L19" s="3">
        <f t="shared" si="4"/>
        <v>2.6040000000000001</v>
      </c>
    </row>
    <row r="20" spans="1:12" x14ac:dyDescent="0.3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3">
      <c r="A21" s="1">
        <v>54</v>
      </c>
      <c r="B21" s="1" t="s">
        <v>94</v>
      </c>
      <c r="C21" s="1">
        <v>80</v>
      </c>
      <c r="D21" s="1">
        <f>2.9*C21/100</f>
        <v>2.3199999999999998</v>
      </c>
      <c r="E21" s="1">
        <f>3.5*C21/100</f>
        <v>2.8</v>
      </c>
      <c r="F21" s="1">
        <f>12.6*C21/100</f>
        <v>10.08</v>
      </c>
      <c r="G21" s="1">
        <f>93.12*C21/100</f>
        <v>74.496000000000009</v>
      </c>
      <c r="H21" s="1">
        <f>0.08*C21/100</f>
        <v>6.4000000000000001E-2</v>
      </c>
      <c r="I21" s="1">
        <f>0.06*C21/100</f>
        <v>4.8000000000000001E-2</v>
      </c>
      <c r="J21" s="1">
        <f>0.45*C21/100</f>
        <v>0.36</v>
      </c>
      <c r="K21" s="1">
        <f>22*C21/100</f>
        <v>17.600000000000001</v>
      </c>
      <c r="L21" s="1">
        <f>0.95*C21/100</f>
        <v>0.76</v>
      </c>
    </row>
    <row r="22" spans="1:12" x14ac:dyDescent="0.3">
      <c r="A22" s="1">
        <v>138</v>
      </c>
      <c r="B22" s="1" t="s">
        <v>16</v>
      </c>
      <c r="C22" s="1">
        <v>120</v>
      </c>
      <c r="D22" s="1">
        <f>1.56*C22/100</f>
        <v>1.8720000000000001</v>
      </c>
      <c r="E22" s="1">
        <f>1.62*C22/100</f>
        <v>1.944</v>
      </c>
      <c r="F22" s="1">
        <f>8.85*C22/100</f>
        <v>10.62</v>
      </c>
      <c r="G22" s="1">
        <f>54.64*C22/100</f>
        <v>65.567999999999998</v>
      </c>
      <c r="H22" s="1">
        <f>0.01*C22/100</f>
        <v>1.2E-2</v>
      </c>
      <c r="I22" s="1">
        <f>0.07*C22/100</f>
        <v>8.4000000000000005E-2</v>
      </c>
      <c r="J22" s="1">
        <f>0.33*C22/100</f>
        <v>0.39600000000000002</v>
      </c>
      <c r="K22" s="1">
        <f>64.05*C22/100</f>
        <v>76.86</v>
      </c>
      <c r="L22" s="1">
        <f>0.32*C22/100</f>
        <v>0.38400000000000001</v>
      </c>
    </row>
    <row r="23" spans="1:12" x14ac:dyDescent="0.3">
      <c r="A23" s="1"/>
      <c r="B23" s="1"/>
      <c r="C23" s="3">
        <f>SUM(C21:C22)</f>
        <v>200</v>
      </c>
      <c r="D23" s="3">
        <f>SUM(D21:D22)</f>
        <v>4.1920000000000002</v>
      </c>
      <c r="E23" s="3">
        <f t="shared" ref="E23:L23" si="5">SUM(E21:E22)</f>
        <v>4.7439999999999998</v>
      </c>
      <c r="F23" s="3">
        <f t="shared" si="5"/>
        <v>20.7</v>
      </c>
      <c r="G23" s="3">
        <f t="shared" si="5"/>
        <v>140.06400000000002</v>
      </c>
      <c r="H23" s="3">
        <f t="shared" si="5"/>
        <v>7.5999999999999998E-2</v>
      </c>
      <c r="I23" s="3">
        <f t="shared" si="5"/>
        <v>0.13200000000000001</v>
      </c>
      <c r="J23" s="3">
        <f t="shared" si="5"/>
        <v>0.75600000000000001</v>
      </c>
      <c r="K23" s="3">
        <f t="shared" si="5"/>
        <v>94.460000000000008</v>
      </c>
      <c r="L23" s="3">
        <f t="shared" si="5"/>
        <v>1.1440000000000001</v>
      </c>
    </row>
    <row r="24" spans="1:12" x14ac:dyDescent="0.3">
      <c r="A24" s="1" t="s">
        <v>29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 t="s">
        <v>17</v>
      </c>
      <c r="B25" s="1" t="s">
        <v>21</v>
      </c>
      <c r="C25" s="1">
        <v>10</v>
      </c>
      <c r="D25" s="1">
        <v>1.7</v>
      </c>
      <c r="E25" s="1">
        <v>2.35</v>
      </c>
      <c r="F25" s="1">
        <v>2.62</v>
      </c>
      <c r="G25" s="1">
        <v>38.9</v>
      </c>
      <c r="H25" s="1">
        <v>1.3000000000000001E-2</v>
      </c>
      <c r="I25" s="1">
        <v>0</v>
      </c>
      <c r="J25" s="1">
        <v>0</v>
      </c>
      <c r="K25" s="1">
        <v>2</v>
      </c>
      <c r="L25" s="1">
        <v>0.153</v>
      </c>
    </row>
    <row r="26" spans="1:12" x14ac:dyDescent="0.3">
      <c r="A26" s="1" t="s">
        <v>17</v>
      </c>
      <c r="B26" s="1" t="s">
        <v>57</v>
      </c>
      <c r="C26" s="1">
        <v>90</v>
      </c>
      <c r="D26" s="1">
        <v>0.45</v>
      </c>
      <c r="E26" s="1">
        <v>0</v>
      </c>
      <c r="F26" s="1">
        <v>7.5329999999999995</v>
      </c>
      <c r="G26" s="1">
        <v>31.5</v>
      </c>
      <c r="H26" s="1">
        <v>1.8000000000000002E-2</v>
      </c>
      <c r="I26" s="1">
        <v>3.6000000000000004E-2</v>
      </c>
      <c r="J26" s="1">
        <v>3.6</v>
      </c>
      <c r="K26" s="1">
        <v>10.8</v>
      </c>
      <c r="L26" s="1">
        <v>0.62999999999999989</v>
      </c>
    </row>
    <row r="27" spans="1:12" x14ac:dyDescent="0.3">
      <c r="A27" s="1"/>
      <c r="B27" s="1"/>
      <c r="C27" s="3">
        <f>SUM(C25:C26)</f>
        <v>100</v>
      </c>
      <c r="D27" s="3">
        <f>SUM(D25:D26)</f>
        <v>2.15</v>
      </c>
      <c r="E27" s="3">
        <f t="shared" ref="E27:L27" si="6">SUM(E25:E26)</f>
        <v>2.35</v>
      </c>
      <c r="F27" s="3">
        <f t="shared" si="6"/>
        <v>10.152999999999999</v>
      </c>
      <c r="G27" s="3">
        <f t="shared" si="6"/>
        <v>70.400000000000006</v>
      </c>
      <c r="H27" s="3">
        <f t="shared" si="6"/>
        <v>3.1000000000000003E-2</v>
      </c>
      <c r="I27" s="3">
        <f t="shared" si="6"/>
        <v>3.6000000000000004E-2</v>
      </c>
      <c r="J27" s="3">
        <f t="shared" si="6"/>
        <v>3.6</v>
      </c>
      <c r="K27" s="3">
        <f t="shared" si="6"/>
        <v>12.8</v>
      </c>
      <c r="L27" s="3">
        <f t="shared" si="6"/>
        <v>0.78299999999999992</v>
      </c>
    </row>
    <row r="28" spans="1:12" x14ac:dyDescent="0.3">
      <c r="A28" s="3"/>
      <c r="B28" s="3" t="s">
        <v>30</v>
      </c>
      <c r="C28" s="3"/>
      <c r="D28" s="3">
        <f t="shared" ref="D28:L28" si="7">D8+D12+D19+D23+D27</f>
        <v>31.588000000000001</v>
      </c>
      <c r="E28" s="3">
        <f t="shared" si="7"/>
        <v>35.352499999999999</v>
      </c>
      <c r="F28" s="3">
        <f t="shared" si="7"/>
        <v>152.72499999999999</v>
      </c>
      <c r="G28" s="3">
        <f t="shared" si="7"/>
        <v>1050.9495000000002</v>
      </c>
      <c r="H28" s="3">
        <f t="shared" si="7"/>
        <v>0.39100000000000001</v>
      </c>
      <c r="I28" s="3">
        <f t="shared" si="7"/>
        <v>0.499</v>
      </c>
      <c r="J28" s="3">
        <f t="shared" si="7"/>
        <v>13.8535</v>
      </c>
      <c r="K28" s="3">
        <f t="shared" si="7"/>
        <v>335.68200000000002</v>
      </c>
      <c r="L28" s="3">
        <f t="shared" si="7"/>
        <v>7.4179999999999993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Шура</dc:creator>
  <cp:lastModifiedBy>admin</cp:lastModifiedBy>
  <cp:lastPrinted>2021-05-19T12:27:41Z</cp:lastPrinted>
  <dcterms:created xsi:type="dcterms:W3CDTF">2008-12-08T22:01:38Z</dcterms:created>
  <dcterms:modified xsi:type="dcterms:W3CDTF">2021-09-19T00:55:34Z</dcterms:modified>
</cp:coreProperties>
</file>